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REA\Arquivos Pessoais\Portaria 455\"/>
    </mc:Choice>
  </mc:AlternateContent>
  <bookViews>
    <workbookView xWindow="0" yWindow="0" windowWidth="21600" windowHeight="9285"/>
  </bookViews>
  <sheets>
    <sheet name="Tela de entrada" sheetId="11" r:id="rId1"/>
    <sheet name="Contrato Flexível Percentual" sheetId="8" state="hidden" r:id="rId2"/>
    <sheet name="Contrato Firme" sheetId="13" state="hidden" r:id="rId3"/>
    <sheet name="Contrato Flexível Prioridade" sheetId="14" state="hidden" r:id="rId4"/>
    <sheet name="Plan1" sheetId="10" state="hidden" r:id="rId5"/>
    <sheet name="Plan5" sheetId="15" state="hidden" r:id="rId6"/>
  </sheets>
  <definedNames>
    <definedName name="_xlnm._FilterDatabase" localSheetId="2" hidden="1">'Contrato Firme'!$C$1:$H$21</definedName>
    <definedName name="_xlnm._FilterDatabase" localSheetId="1" hidden="1">'Contrato Flexível Percentual'!$C$1:$H$21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1" l="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I41" i="11"/>
  <c r="V11" i="15"/>
  <c r="W11" i="15"/>
  <c r="X11" i="15"/>
  <c r="Y11" i="15"/>
  <c r="Z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G11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AC14" i="11" l="1"/>
  <c r="AD14" i="11" s="1"/>
  <c r="AC41" i="11" l="1"/>
  <c r="AD41" i="11" s="1"/>
  <c r="A3" i="14"/>
  <c r="E3" i="14" s="1"/>
  <c r="A4" i="14"/>
  <c r="E4" i="14" s="1"/>
  <c r="A5" i="14"/>
  <c r="E5" i="14" s="1"/>
  <c r="A6" i="14"/>
  <c r="E6" i="14" s="1"/>
  <c r="A7" i="14"/>
  <c r="E7" i="14" s="1"/>
  <c r="A8" i="14"/>
  <c r="E8" i="14" s="1"/>
  <c r="A9" i="14"/>
  <c r="E9" i="14" s="1"/>
  <c r="A10" i="14"/>
  <c r="E10" i="14" s="1"/>
  <c r="A11" i="14"/>
  <c r="E11" i="14" s="1"/>
  <c r="A12" i="14"/>
  <c r="E12" i="14" s="1"/>
  <c r="A13" i="14"/>
  <c r="E13" i="14" s="1"/>
  <c r="A14" i="14"/>
  <c r="E14" i="14" s="1"/>
  <c r="A15" i="14"/>
  <c r="E15" i="14" s="1"/>
  <c r="A16" i="14"/>
  <c r="E16" i="14" s="1"/>
  <c r="A17" i="14"/>
  <c r="E17" i="14" s="1"/>
  <c r="A18" i="14"/>
  <c r="E18" i="14" s="1"/>
  <c r="A19" i="14"/>
  <c r="E19" i="14" s="1"/>
  <c r="A20" i="14"/>
  <c r="E20" i="14" s="1"/>
  <c r="A21" i="14"/>
  <c r="E21" i="14" s="1"/>
  <c r="A22" i="14"/>
  <c r="E22" i="14" s="1"/>
  <c r="A23" i="14"/>
  <c r="E23" i="14" s="1"/>
  <c r="A24" i="14"/>
  <c r="E24" i="14" s="1"/>
  <c r="A25" i="14"/>
  <c r="E25" i="14" s="1"/>
  <c r="A26" i="14"/>
  <c r="E26" i="14" s="1"/>
  <c r="A27" i="14"/>
  <c r="E27" i="14" s="1"/>
  <c r="A28" i="14"/>
  <c r="E28" i="14" s="1"/>
  <c r="A29" i="14"/>
  <c r="E29" i="14" s="1"/>
  <c r="A30" i="14"/>
  <c r="E30" i="14" s="1"/>
  <c r="A31" i="14"/>
  <c r="E31" i="14" s="1"/>
  <c r="A32" i="14"/>
  <c r="E32" i="14" s="1"/>
  <c r="A33" i="14"/>
  <c r="E33" i="14" s="1"/>
  <c r="A34" i="14"/>
  <c r="E34" i="14" s="1"/>
  <c r="A35" i="14"/>
  <c r="E35" i="14" s="1"/>
  <c r="A36" i="14"/>
  <c r="E36" i="14" s="1"/>
  <c r="A37" i="14"/>
  <c r="E37" i="14" s="1"/>
  <c r="A38" i="14"/>
  <c r="E38" i="14" s="1"/>
  <c r="A39" i="14"/>
  <c r="E39" i="14" s="1"/>
  <c r="A40" i="14"/>
  <c r="E40" i="14" s="1"/>
  <c r="A41" i="14"/>
  <c r="E41" i="14" s="1"/>
  <c r="A2" i="14"/>
  <c r="E2" i="14" s="1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2" i="14"/>
  <c r="N22" i="14" l="1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" i="14"/>
  <c r="I3" i="14"/>
  <c r="K3" i="14" s="1"/>
  <c r="I4" i="14"/>
  <c r="K4" i="14" s="1"/>
  <c r="I5" i="14"/>
  <c r="K5" i="14" s="1"/>
  <c r="I6" i="14"/>
  <c r="K6" i="14" s="1"/>
  <c r="I7" i="14"/>
  <c r="I8" i="14"/>
  <c r="I9" i="14"/>
  <c r="I10" i="14"/>
  <c r="I11" i="14"/>
  <c r="K11" i="14" s="1"/>
  <c r="I12" i="14"/>
  <c r="K12" i="14" s="1"/>
  <c r="I13" i="14"/>
  <c r="K13" i="14" s="1"/>
  <c r="I14" i="14"/>
  <c r="K14" i="14" s="1"/>
  <c r="I15" i="14"/>
  <c r="I16" i="14"/>
  <c r="I17" i="14"/>
  <c r="I18" i="14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I28" i="14"/>
  <c r="K28" i="14" s="1"/>
  <c r="I29" i="14"/>
  <c r="K29" i="14" s="1"/>
  <c r="I30" i="14"/>
  <c r="I31" i="14"/>
  <c r="K31" i="14" s="1"/>
  <c r="I32" i="14"/>
  <c r="K32" i="14" s="1"/>
  <c r="I33" i="14"/>
  <c r="K33" i="14" s="1"/>
  <c r="I34" i="14"/>
  <c r="K34" i="14" s="1"/>
  <c r="I35" i="14"/>
  <c r="K35" i="14" s="1"/>
  <c r="I36" i="14"/>
  <c r="K36" i="14" s="1"/>
  <c r="I37" i="14"/>
  <c r="K37" i="14" s="1"/>
  <c r="I38" i="14"/>
  <c r="K38" i="14" s="1"/>
  <c r="I39" i="14"/>
  <c r="K39" i="14" s="1"/>
  <c r="I40" i="14"/>
  <c r="K40" i="14" s="1"/>
  <c r="I41" i="14"/>
  <c r="K41" i="14" s="1"/>
  <c r="I2" i="14"/>
  <c r="K2" i="14" s="1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" i="13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" i="13"/>
  <c r="AF3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" i="8"/>
  <c r="AE3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" i="8"/>
  <c r="Y23" i="13"/>
  <c r="F21" i="13"/>
  <c r="H21" i="13" s="1"/>
  <c r="F20" i="13"/>
  <c r="H20" i="13" s="1"/>
  <c r="F19" i="13"/>
  <c r="H19" i="13" s="1"/>
  <c r="F18" i="13"/>
  <c r="H18" i="13" s="1"/>
  <c r="X18" i="13" s="1"/>
  <c r="F17" i="13"/>
  <c r="H17" i="13" s="1"/>
  <c r="X17" i="13" s="1"/>
  <c r="F16" i="13"/>
  <c r="H16" i="13" s="1"/>
  <c r="F15" i="13"/>
  <c r="H15" i="13" s="1"/>
  <c r="F14" i="13"/>
  <c r="H14" i="13" s="1"/>
  <c r="X14" i="13" s="1"/>
  <c r="AK13" i="13"/>
  <c r="F13" i="13"/>
  <c r="H13" i="13" s="1"/>
  <c r="X13" i="13" s="1"/>
  <c r="F12" i="13"/>
  <c r="H12" i="13" s="1"/>
  <c r="X12" i="13" s="1"/>
  <c r="F11" i="13"/>
  <c r="H11" i="13" s="1"/>
  <c r="X11" i="13" s="1"/>
  <c r="F10" i="13"/>
  <c r="H10" i="13" s="1"/>
  <c r="X10" i="13" s="1"/>
  <c r="AK9" i="13"/>
  <c r="F9" i="13"/>
  <c r="H9" i="13" s="1"/>
  <c r="X9" i="13" s="1"/>
  <c r="F8" i="13"/>
  <c r="H8" i="13" s="1"/>
  <c r="AH7" i="13"/>
  <c r="F7" i="13"/>
  <c r="H7" i="13" s="1"/>
  <c r="X7" i="13" s="1"/>
  <c r="F6" i="13"/>
  <c r="H6" i="13" s="1"/>
  <c r="X6" i="13" s="1"/>
  <c r="F5" i="13"/>
  <c r="H5" i="13" s="1"/>
  <c r="X5" i="13" s="1"/>
  <c r="F4" i="13"/>
  <c r="H4" i="13" s="1"/>
  <c r="X4" i="13" s="1"/>
  <c r="F3" i="13"/>
  <c r="H3" i="13" s="1"/>
  <c r="X3" i="13" s="1"/>
  <c r="F2" i="13"/>
  <c r="H2" i="13" s="1"/>
  <c r="K2" i="8"/>
  <c r="J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" i="8"/>
  <c r="I15" i="13" l="1"/>
  <c r="J15" i="13" s="1"/>
  <c r="K15" i="13" s="1"/>
  <c r="I19" i="13"/>
  <c r="I4" i="13"/>
  <c r="J4" i="13" s="1"/>
  <c r="K4" i="13" s="1"/>
  <c r="I8" i="13"/>
  <c r="J8" i="13" s="1"/>
  <c r="K8" i="13" s="1"/>
  <c r="I21" i="13"/>
  <c r="J21" i="13" s="1"/>
  <c r="K21" i="13" s="1"/>
  <c r="I17" i="13"/>
  <c r="J17" i="13" s="1"/>
  <c r="K17" i="13" s="1"/>
  <c r="I9" i="13"/>
  <c r="J9" i="13" s="1"/>
  <c r="K9" i="13" s="1"/>
  <c r="I16" i="13"/>
  <c r="J16" i="13" s="1"/>
  <c r="K16" i="13" s="1"/>
  <c r="I7" i="13"/>
  <c r="J7" i="13" s="1"/>
  <c r="K7" i="13" s="1"/>
  <c r="I2" i="13"/>
  <c r="J2" i="13" s="1"/>
  <c r="K2" i="13" s="1"/>
  <c r="I14" i="13"/>
  <c r="J14" i="13" s="1"/>
  <c r="K14" i="13" s="1"/>
  <c r="I6" i="13"/>
  <c r="J6" i="13" s="1"/>
  <c r="K6" i="13" s="1"/>
  <c r="I13" i="13"/>
  <c r="J13" i="13" s="1"/>
  <c r="K13" i="13" s="1"/>
  <c r="I5" i="13"/>
  <c r="J5" i="13" s="1"/>
  <c r="K5" i="13" s="1"/>
  <c r="I20" i="13"/>
  <c r="J20" i="13" s="1"/>
  <c r="K20" i="13" s="1"/>
  <c r="I12" i="13"/>
  <c r="J12" i="13" s="1"/>
  <c r="K12" i="13" s="1"/>
  <c r="I11" i="13"/>
  <c r="J11" i="13" s="1"/>
  <c r="K11" i="13" s="1"/>
  <c r="I3" i="13"/>
  <c r="J3" i="13" s="1"/>
  <c r="K3" i="13" s="1"/>
  <c r="I18" i="13"/>
  <c r="J18" i="13" s="1"/>
  <c r="K18" i="13" s="1"/>
  <c r="I10" i="13"/>
  <c r="J10" i="13" s="1"/>
  <c r="K10" i="13" s="1"/>
  <c r="K30" i="14"/>
  <c r="K27" i="14"/>
  <c r="K18" i="14"/>
  <c r="K10" i="14"/>
  <c r="K17" i="14"/>
  <c r="K9" i="14"/>
  <c r="K16" i="14"/>
  <c r="K8" i="14"/>
  <c r="K15" i="14"/>
  <c r="K7" i="14"/>
  <c r="X16" i="13"/>
  <c r="X21" i="13"/>
  <c r="X19" i="13"/>
  <c r="J19" i="13"/>
  <c r="K19" i="13" s="1"/>
  <c r="X15" i="13"/>
  <c r="X20" i="13"/>
  <c r="X8" i="13"/>
  <c r="X2" i="13"/>
  <c r="AC23" i="8"/>
  <c r="AO9" i="8"/>
  <c r="AO13" i="8" s="1"/>
  <c r="AL7" i="8"/>
  <c r="K23" i="8"/>
  <c r="J23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M2" i="8" l="1"/>
  <c r="M10" i="8"/>
  <c r="M18" i="8"/>
  <c r="M6" i="8"/>
  <c r="M14" i="8"/>
  <c r="M7" i="8"/>
  <c r="M15" i="8"/>
  <c r="M8" i="8"/>
  <c r="M16" i="8"/>
  <c r="M9" i="8"/>
  <c r="M17" i="8"/>
  <c r="M3" i="8"/>
  <c r="M11" i="8"/>
  <c r="M19" i="8"/>
  <c r="M4" i="8"/>
  <c r="M12" i="8"/>
  <c r="M20" i="8"/>
  <c r="M5" i="8"/>
  <c r="M13" i="8"/>
  <c r="M21" i="8"/>
  <c r="AB14" i="8"/>
  <c r="L9" i="13"/>
  <c r="L20" i="13"/>
  <c r="L15" i="13"/>
  <c r="L11" i="13"/>
  <c r="L10" i="13"/>
  <c r="L18" i="13"/>
  <c r="L13" i="13"/>
  <c r="L16" i="13"/>
  <c r="L21" i="13"/>
  <c r="L17" i="13"/>
  <c r="L6" i="13"/>
  <c r="L3" i="13"/>
  <c r="L14" i="13"/>
  <c r="L19" i="13"/>
  <c r="L2" i="13"/>
  <c r="L5" i="13"/>
  <c r="L4" i="13"/>
  <c r="L8" i="13"/>
  <c r="L12" i="13"/>
  <c r="L7" i="13"/>
  <c r="M17" i="13"/>
  <c r="M18" i="13"/>
  <c r="M3" i="13"/>
  <c r="AB4" i="8"/>
  <c r="AB5" i="8"/>
  <c r="AB13" i="8"/>
  <c r="AB21" i="8"/>
  <c r="AB12" i="8"/>
  <c r="AB6" i="8"/>
  <c r="AB7" i="8"/>
  <c r="AB15" i="8"/>
  <c r="AB20" i="8"/>
  <c r="AB8" i="8"/>
  <c r="AB16" i="8"/>
  <c r="AB9" i="8"/>
  <c r="AB17" i="8"/>
  <c r="AB2" i="8"/>
  <c r="AB10" i="8"/>
  <c r="AB18" i="8"/>
  <c r="AB3" i="8"/>
  <c r="AB11" i="8"/>
  <c r="AB19" i="8"/>
  <c r="I2" i="8"/>
  <c r="L2" i="8" s="1"/>
  <c r="N18" i="13" l="1"/>
  <c r="N3" i="13"/>
  <c r="N17" i="13"/>
  <c r="M9" i="13"/>
  <c r="N9" i="13" s="1"/>
  <c r="M16" i="13"/>
  <c r="N16" i="13" s="1"/>
  <c r="M8" i="13"/>
  <c r="N8" i="13" s="1"/>
  <c r="M2" i="13"/>
  <c r="N2" i="13" s="1"/>
  <c r="M10" i="13"/>
  <c r="N10" i="13" s="1"/>
  <c r="M20" i="13"/>
  <c r="N20" i="13" s="1"/>
  <c r="M15" i="13"/>
  <c r="N15" i="13" s="1"/>
  <c r="M21" i="13"/>
  <c r="N21" i="13" s="1"/>
  <c r="M13" i="13"/>
  <c r="N13" i="13" s="1"/>
  <c r="M19" i="13"/>
  <c r="N19" i="13" s="1"/>
  <c r="M5" i="13"/>
  <c r="N5" i="13" s="1"/>
  <c r="M4" i="13"/>
  <c r="N4" i="13" s="1"/>
  <c r="M14" i="13"/>
  <c r="N14" i="13" s="1"/>
  <c r="M11" i="13"/>
  <c r="N11" i="13" s="1"/>
  <c r="M6" i="13"/>
  <c r="N6" i="13" s="1"/>
  <c r="M12" i="13"/>
  <c r="N12" i="13" s="1"/>
  <c r="M7" i="13"/>
  <c r="N7" i="13" s="1"/>
  <c r="Z7" i="13"/>
  <c r="Z4" i="13"/>
  <c r="Z12" i="13"/>
  <c r="Z13" i="13"/>
  <c r="Z2" i="13"/>
  <c r="Z16" i="13"/>
  <c r="Z6" i="13"/>
  <c r="Z18" i="13"/>
  <c r="Z20" i="13"/>
  <c r="Z8" i="13"/>
  <c r="Z15" i="13"/>
  <c r="Z11" i="13"/>
  <c r="Z17" i="13"/>
  <c r="Z19" i="13"/>
  <c r="Z9" i="13"/>
  <c r="Z21" i="13"/>
  <c r="Z5" i="13"/>
  <c r="Z14" i="13"/>
  <c r="Z3" i="13"/>
  <c r="Z10" i="13"/>
  <c r="N7" i="8"/>
  <c r="O7" i="8" s="1"/>
  <c r="N15" i="8"/>
  <c r="O15" i="8" s="1"/>
  <c r="N8" i="8"/>
  <c r="O8" i="8" s="1"/>
  <c r="N16" i="8"/>
  <c r="O16" i="8" s="1"/>
  <c r="N18" i="8"/>
  <c r="O18" i="8" s="1"/>
  <c r="N3" i="8"/>
  <c r="O3" i="8" s="1"/>
  <c r="N11" i="8"/>
  <c r="O11" i="8" s="1"/>
  <c r="N19" i="8"/>
  <c r="O19" i="8" s="1"/>
  <c r="N5" i="8"/>
  <c r="O5" i="8" s="1"/>
  <c r="N13" i="8"/>
  <c r="O13" i="8" s="1"/>
  <c r="N14" i="8"/>
  <c r="O14" i="8" s="1"/>
  <c r="N2" i="8"/>
  <c r="N9" i="8"/>
  <c r="O9" i="8" s="1"/>
  <c r="N4" i="8"/>
  <c r="O4" i="8" s="1"/>
  <c r="N12" i="8"/>
  <c r="O12" i="8" s="1"/>
  <c r="N20" i="8"/>
  <c r="O20" i="8" s="1"/>
  <c r="N21" i="8"/>
  <c r="O21" i="8" s="1"/>
  <c r="N6" i="8"/>
  <c r="O6" i="8" s="1"/>
  <c r="N17" i="8"/>
  <c r="O17" i="8" s="1"/>
  <c r="N10" i="8"/>
  <c r="O10" i="8" s="1"/>
  <c r="O2" i="8" l="1"/>
  <c r="O22" i="8" s="1"/>
  <c r="AD16" i="8"/>
  <c r="AD20" i="8"/>
  <c r="AD6" i="8"/>
  <c r="AD18" i="8"/>
  <c r="AD14" i="8"/>
  <c r="AD7" i="8"/>
  <c r="AD5" i="8"/>
  <c r="AD15" i="8"/>
  <c r="AD10" i="8"/>
  <c r="AD13" i="8"/>
  <c r="AD2" i="8"/>
  <c r="AD9" i="8"/>
  <c r="AD21" i="8"/>
  <c r="AD3" i="8"/>
  <c r="AD17" i="8"/>
  <c r="AD4" i="8"/>
  <c r="AD11" i="8"/>
  <c r="AD8" i="8"/>
  <c r="AD12" i="8"/>
  <c r="AD19" i="8"/>
  <c r="Q5" i="8" l="1"/>
  <c r="P3" i="8"/>
  <c r="P11" i="8"/>
  <c r="P19" i="8"/>
  <c r="P4" i="8"/>
  <c r="P12" i="8"/>
  <c r="P5" i="8"/>
  <c r="P13" i="8"/>
  <c r="P21" i="8"/>
  <c r="P6" i="8"/>
  <c r="P14" i="8"/>
  <c r="P2" i="8"/>
  <c r="P9" i="8"/>
  <c r="P18" i="8"/>
  <c r="P20" i="8"/>
  <c r="P16" i="8"/>
  <c r="P10" i="8"/>
  <c r="P7" i="8"/>
  <c r="P15" i="8"/>
  <c r="P8" i="8"/>
  <c r="P17" i="8"/>
  <c r="Q8" i="8"/>
  <c r="Q18" i="8"/>
  <c r="Q15" i="8"/>
  <c r="Q2" i="8"/>
  <c r="Q4" i="8"/>
  <c r="Q19" i="8"/>
  <c r="Q16" i="8"/>
  <c r="AC11" i="13"/>
  <c r="AD11" i="13" s="1"/>
  <c r="R17" i="11"/>
  <c r="AC20" i="13"/>
  <c r="AD20" i="13" s="1"/>
  <c r="AA17" i="11"/>
  <c r="AC5" i="13"/>
  <c r="AD5" i="13" s="1"/>
  <c r="L17" i="11"/>
  <c r="AC4" i="13"/>
  <c r="AD4" i="13" s="1"/>
  <c r="K17" i="11"/>
  <c r="AC13" i="13"/>
  <c r="AD13" i="13" s="1"/>
  <c r="T17" i="11"/>
  <c r="AC10" i="13"/>
  <c r="AD10" i="13" s="1"/>
  <c r="Q17" i="11"/>
  <c r="Q11" i="8"/>
  <c r="Q14" i="8"/>
  <c r="Q3" i="8"/>
  <c r="Q6" i="8"/>
  <c r="Q7" i="8"/>
  <c r="Q10" i="8"/>
  <c r="Q21" i="8"/>
  <c r="Q20" i="8"/>
  <c r="Q17" i="8"/>
  <c r="Q13" i="8"/>
  <c r="Q12" i="8"/>
  <c r="Q9" i="8"/>
  <c r="R7" i="15" l="1"/>
  <c r="R8" i="15"/>
  <c r="P7" i="15"/>
  <c r="P8" i="15"/>
  <c r="O7" i="15"/>
  <c r="O8" i="15"/>
  <c r="Y7" i="15"/>
  <c r="Y8" i="15"/>
  <c r="I7" i="15"/>
  <c r="I8" i="15"/>
  <c r="J7" i="15"/>
  <c r="J8" i="15"/>
  <c r="AC12" i="13"/>
  <c r="AD12" i="13" s="1"/>
  <c r="S17" i="11"/>
  <c r="AC16" i="13"/>
  <c r="AD16" i="13" s="1"/>
  <c r="W17" i="11"/>
  <c r="AC6" i="13"/>
  <c r="AD6" i="13" s="1"/>
  <c r="M17" i="11"/>
  <c r="AC3" i="13"/>
  <c r="AD3" i="13" s="1"/>
  <c r="J17" i="11"/>
  <c r="AC7" i="13"/>
  <c r="AD7" i="13" s="1"/>
  <c r="N17" i="11"/>
  <c r="AC19" i="13"/>
  <c r="AD19" i="13" s="1"/>
  <c r="Z17" i="11"/>
  <c r="AC17" i="13"/>
  <c r="AD17" i="13" s="1"/>
  <c r="X17" i="11"/>
  <c r="AC9" i="13"/>
  <c r="AD9" i="13" s="1"/>
  <c r="P17" i="11"/>
  <c r="AC21" i="13"/>
  <c r="AD21" i="13" s="1"/>
  <c r="AB17" i="11"/>
  <c r="AC14" i="13"/>
  <c r="AD14" i="13" s="1"/>
  <c r="U17" i="11"/>
  <c r="AC18" i="13"/>
  <c r="AD18" i="13" s="1"/>
  <c r="Y17" i="11"/>
  <c r="AC2" i="13"/>
  <c r="AD2" i="13" s="1"/>
  <c r="I17" i="11"/>
  <c r="AC8" i="13"/>
  <c r="AD8" i="13" s="1"/>
  <c r="O17" i="11"/>
  <c r="AC15" i="13"/>
  <c r="AD15" i="13" s="1"/>
  <c r="V17" i="11"/>
  <c r="R4" i="8"/>
  <c r="R9" i="8"/>
  <c r="R14" i="8"/>
  <c r="R21" i="8"/>
  <c r="R6" i="8"/>
  <c r="R7" i="8"/>
  <c r="R13" i="8"/>
  <c r="R16" i="8"/>
  <c r="R8" i="8"/>
  <c r="R20" i="8"/>
  <c r="R2" i="8"/>
  <c r="R11" i="8"/>
  <c r="R12" i="8"/>
  <c r="R15" i="8"/>
  <c r="R10" i="8"/>
  <c r="R19" i="8"/>
  <c r="R18" i="8"/>
  <c r="R3" i="8"/>
  <c r="R5" i="8"/>
  <c r="R17" i="8"/>
  <c r="W7" i="15" l="1"/>
  <c r="W8" i="15"/>
  <c r="K8" i="15"/>
  <c r="K7" i="15"/>
  <c r="S8" i="15"/>
  <c r="S7" i="15"/>
  <c r="U8" i="15"/>
  <c r="U7" i="15"/>
  <c r="M8" i="15"/>
  <c r="M7" i="15"/>
  <c r="Z7" i="15"/>
  <c r="Z8" i="15"/>
  <c r="L8" i="15"/>
  <c r="L7" i="15"/>
  <c r="Q7" i="15"/>
  <c r="Q8" i="15"/>
  <c r="G7" i="15"/>
  <c r="G8" i="15"/>
  <c r="N8" i="15"/>
  <c r="N7" i="15"/>
  <c r="H7" i="15"/>
  <c r="H8" i="15"/>
  <c r="X7" i="15"/>
  <c r="X8" i="15"/>
  <c r="V8" i="15"/>
  <c r="V7" i="15"/>
  <c r="T8" i="15"/>
  <c r="T7" i="15"/>
  <c r="AC17" i="11"/>
  <c r="AD17" i="11" s="1"/>
  <c r="R22" i="8"/>
  <c r="AG22" i="8" s="1"/>
  <c r="L39" i="14"/>
  <c r="M39" i="14" s="1"/>
  <c r="O39" i="14" s="1"/>
  <c r="L19" i="14"/>
  <c r="M19" i="14" s="1"/>
  <c r="O19" i="14" s="1"/>
  <c r="L13" i="14"/>
  <c r="M13" i="14" s="1"/>
  <c r="O13" i="14" s="1"/>
  <c r="L33" i="14"/>
  <c r="M33" i="14" s="1"/>
  <c r="O33" i="14" s="1"/>
  <c r="L15" i="14"/>
  <c r="M15" i="14" s="1"/>
  <c r="O15" i="14" s="1"/>
  <c r="L35" i="14"/>
  <c r="M35" i="14" s="1"/>
  <c r="O35" i="14" s="1"/>
  <c r="L17" i="14"/>
  <c r="M17" i="14" s="1"/>
  <c r="O17" i="14" s="1"/>
  <c r="L37" i="14"/>
  <c r="M37" i="14" s="1"/>
  <c r="O37" i="14" s="1"/>
  <c r="L31" i="14"/>
  <c r="M31" i="14" s="1"/>
  <c r="O31" i="14" s="1"/>
  <c r="L11" i="14"/>
  <c r="M11" i="14" s="1"/>
  <c r="O11" i="14" s="1"/>
  <c r="L41" i="14"/>
  <c r="M41" i="14" s="1"/>
  <c r="O41" i="14" s="1"/>
  <c r="L21" i="14"/>
  <c r="M21" i="14" s="1"/>
  <c r="O21" i="14" s="1"/>
  <c r="L25" i="14"/>
  <c r="M25" i="14" s="1"/>
  <c r="O25" i="14" s="1"/>
  <c r="L5" i="14"/>
  <c r="M5" i="14" s="1"/>
  <c r="O5" i="14" s="1"/>
  <c r="L22" i="14"/>
  <c r="M22" i="14" s="1"/>
  <c r="O22" i="14" s="1"/>
  <c r="L2" i="14"/>
  <c r="M2" i="14" s="1"/>
  <c r="O2" i="14" s="1"/>
  <c r="P2" i="14" s="1"/>
  <c r="L14" i="14"/>
  <c r="M14" i="14" s="1"/>
  <c r="O14" i="14" s="1"/>
  <c r="L34" i="14"/>
  <c r="M34" i="14" s="1"/>
  <c r="O34" i="14" s="1"/>
  <c r="L23" i="14"/>
  <c r="M23" i="14" s="1"/>
  <c r="O23" i="14" s="1"/>
  <c r="L3" i="14"/>
  <c r="M3" i="14" s="1"/>
  <c r="O3" i="14" s="1"/>
  <c r="L40" i="14"/>
  <c r="M40" i="14" s="1"/>
  <c r="O40" i="14" s="1"/>
  <c r="L20" i="14"/>
  <c r="M20" i="14" s="1"/>
  <c r="O20" i="14" s="1"/>
  <c r="L9" i="14"/>
  <c r="M9" i="14" s="1"/>
  <c r="O9" i="14" s="1"/>
  <c r="L29" i="14"/>
  <c r="M29" i="14" s="1"/>
  <c r="O29" i="14" s="1"/>
  <c r="L38" i="14"/>
  <c r="M38" i="14" s="1"/>
  <c r="O38" i="14" s="1"/>
  <c r="L18" i="14"/>
  <c r="M18" i="14" s="1"/>
  <c r="O18" i="14" s="1"/>
  <c r="L8" i="14"/>
  <c r="M8" i="14" s="1"/>
  <c r="O8" i="14" s="1"/>
  <c r="L28" i="14"/>
  <c r="M28" i="14" s="1"/>
  <c r="O28" i="14" s="1"/>
  <c r="L24" i="14"/>
  <c r="M24" i="14" s="1"/>
  <c r="O24" i="14" s="1"/>
  <c r="L4" i="14"/>
  <c r="M4" i="14" s="1"/>
  <c r="O4" i="14" s="1"/>
  <c r="L16" i="14"/>
  <c r="M16" i="14" s="1"/>
  <c r="O16" i="14" s="1"/>
  <c r="L36" i="14"/>
  <c r="M36" i="14" s="1"/>
  <c r="O36" i="14" s="1"/>
  <c r="L30" i="14"/>
  <c r="M30" i="14" s="1"/>
  <c r="O30" i="14" s="1"/>
  <c r="L10" i="14"/>
  <c r="M10" i="14" s="1"/>
  <c r="O10" i="14" s="1"/>
  <c r="L7" i="14"/>
  <c r="M7" i="14" s="1"/>
  <c r="O7" i="14" s="1"/>
  <c r="L27" i="14"/>
  <c r="M27" i="14" s="1"/>
  <c r="O27" i="14" s="1"/>
  <c r="L32" i="14"/>
  <c r="M32" i="14" s="1"/>
  <c r="O32" i="14" s="1"/>
  <c r="L12" i="14"/>
  <c r="M12" i="14" s="1"/>
  <c r="O12" i="14" s="1"/>
  <c r="L6" i="14"/>
  <c r="M6" i="14" s="1"/>
  <c r="O6" i="14" s="1"/>
  <c r="L26" i="14"/>
  <c r="M26" i="14" s="1"/>
  <c r="O26" i="14" s="1"/>
  <c r="AG17" i="8"/>
  <c r="AH17" i="8" s="1"/>
  <c r="X22" i="11"/>
  <c r="V2" i="15" s="1"/>
  <c r="AG21" i="8"/>
  <c r="AH21" i="8" s="1"/>
  <c r="AB22" i="11"/>
  <c r="Z2" i="15" s="1"/>
  <c r="AG2" i="8"/>
  <c r="AH2" i="8" s="1"/>
  <c r="I22" i="11"/>
  <c r="G2" i="15" s="1"/>
  <c r="AG14" i="8"/>
  <c r="AH14" i="8" s="1"/>
  <c r="U22" i="11"/>
  <c r="S2" i="15" s="1"/>
  <c r="AG18" i="8"/>
  <c r="AH18" i="8" s="1"/>
  <c r="Y22" i="11"/>
  <c r="W2" i="15" s="1"/>
  <c r="AG8" i="8"/>
  <c r="AH8" i="8" s="1"/>
  <c r="O22" i="11"/>
  <c r="M2" i="15" s="1"/>
  <c r="AG4" i="8"/>
  <c r="AH4" i="8" s="1"/>
  <c r="K22" i="11"/>
  <c r="AG19" i="8"/>
  <c r="AH19" i="8" s="1"/>
  <c r="Z22" i="11"/>
  <c r="X2" i="15" s="1"/>
  <c r="AG16" i="8"/>
  <c r="AH16" i="8" s="1"/>
  <c r="W22" i="11"/>
  <c r="U2" i="15" s="1"/>
  <c r="AG10" i="8"/>
  <c r="AH10" i="8" s="1"/>
  <c r="Q22" i="11"/>
  <c r="AG13" i="8"/>
  <c r="AH13" i="8" s="1"/>
  <c r="T22" i="11"/>
  <c r="AG15" i="8"/>
  <c r="AH15" i="8" s="1"/>
  <c r="V22" i="11"/>
  <c r="T2" i="15" s="1"/>
  <c r="AG7" i="8"/>
  <c r="AH7" i="8" s="1"/>
  <c r="N22" i="11"/>
  <c r="L2" i="15" s="1"/>
  <c r="AG12" i="8"/>
  <c r="AH12" i="8" s="1"/>
  <c r="S22" i="11"/>
  <c r="Q2" i="15" s="1"/>
  <c r="AG6" i="8"/>
  <c r="AH6" i="8" s="1"/>
  <c r="M22" i="11"/>
  <c r="K2" i="15" s="1"/>
  <c r="AG11" i="8"/>
  <c r="AH11" i="8" s="1"/>
  <c r="R22" i="11"/>
  <c r="AG5" i="8"/>
  <c r="AH5" i="8" s="1"/>
  <c r="L22" i="11"/>
  <c r="AG3" i="8"/>
  <c r="AH3" i="8" s="1"/>
  <c r="J22" i="11"/>
  <c r="H2" i="15" s="1"/>
  <c r="AG20" i="8"/>
  <c r="AH20" i="8" s="1"/>
  <c r="AA22" i="11"/>
  <c r="AG9" i="8"/>
  <c r="AH9" i="8" s="1"/>
  <c r="P22" i="11"/>
  <c r="N2" i="15" s="1"/>
  <c r="L12" i="15" l="1"/>
  <c r="U12" i="15"/>
  <c r="Q12" i="15"/>
  <c r="Y2" i="15"/>
  <c r="Y12" i="15"/>
  <c r="R2" i="15"/>
  <c r="R13" i="15"/>
  <c r="R12" i="15"/>
  <c r="I2" i="15"/>
  <c r="I12" i="15"/>
  <c r="H12" i="15"/>
  <c r="N12" i="15"/>
  <c r="K12" i="15"/>
  <c r="V12" i="15"/>
  <c r="G12" i="15"/>
  <c r="Z12" i="15"/>
  <c r="M12" i="15"/>
  <c r="W12" i="15"/>
  <c r="P2" i="15"/>
  <c r="P12" i="15"/>
  <c r="O2" i="15"/>
  <c r="O12" i="15"/>
  <c r="X12" i="15"/>
  <c r="S12" i="15"/>
  <c r="J2" i="15"/>
  <c r="J12" i="15"/>
  <c r="T12" i="15"/>
  <c r="AC22" i="11"/>
  <c r="P12" i="14"/>
  <c r="Q12" i="14" s="1"/>
  <c r="S30" i="11" s="1"/>
  <c r="Q13" i="15" s="1"/>
  <c r="P4" i="14"/>
  <c r="Q4" i="14" s="1"/>
  <c r="P5" i="14"/>
  <c r="Q5" i="14" s="1"/>
  <c r="P20" i="14"/>
  <c r="Q20" i="14" s="1"/>
  <c r="AA30" i="11" s="1"/>
  <c r="Y13" i="15" s="1"/>
  <c r="P13" i="14"/>
  <c r="Q13" i="14" s="1"/>
  <c r="T30" i="11" s="1"/>
  <c r="P7" i="14"/>
  <c r="Q7" i="14" s="1"/>
  <c r="P3" i="14"/>
  <c r="Q3" i="14" s="1"/>
  <c r="P6" i="14"/>
  <c r="Q6" i="14" s="1"/>
  <c r="P17" i="14"/>
  <c r="Q17" i="14" s="1"/>
  <c r="X30" i="11" s="1"/>
  <c r="V13" i="15" s="1"/>
  <c r="P36" i="14"/>
  <c r="Q36" i="14" s="1"/>
  <c r="W35" i="11" s="1"/>
  <c r="P35" i="14"/>
  <c r="Q35" i="14" s="1"/>
  <c r="V35" i="11" s="1"/>
  <c r="P32" i="14"/>
  <c r="Q32" i="14" s="1"/>
  <c r="S35" i="11" s="1"/>
  <c r="P16" i="14"/>
  <c r="Q16" i="14" s="1"/>
  <c r="P38" i="14"/>
  <c r="Q38" i="14" s="1"/>
  <c r="Y35" i="11" s="1"/>
  <c r="P15" i="14"/>
  <c r="Q15" i="14" s="1"/>
  <c r="P29" i="14"/>
  <c r="Q29" i="14" s="1"/>
  <c r="P35" i="11" s="1"/>
  <c r="P34" i="14"/>
  <c r="Q34" i="14" s="1"/>
  <c r="U35" i="11" s="1"/>
  <c r="P41" i="14"/>
  <c r="Q41" i="14" s="1"/>
  <c r="AB35" i="11" s="1"/>
  <c r="P33" i="14"/>
  <c r="Q33" i="14" s="1"/>
  <c r="T35" i="11" s="1"/>
  <c r="P9" i="14"/>
  <c r="Q9" i="14" s="1"/>
  <c r="P11" i="14"/>
  <c r="Q11" i="14" s="1"/>
  <c r="P28" i="14"/>
  <c r="Q28" i="14" s="1"/>
  <c r="O35" i="11" s="1"/>
  <c r="P40" i="14"/>
  <c r="Q40" i="14" s="1"/>
  <c r="AA35" i="11" s="1"/>
  <c r="P22" i="14"/>
  <c r="Q22" i="14" s="1"/>
  <c r="I35" i="11" s="1"/>
  <c r="P31" i="14"/>
  <c r="Q31" i="14" s="1"/>
  <c r="R35" i="11" s="1"/>
  <c r="P19" i="14"/>
  <c r="Q19" i="14" s="1"/>
  <c r="Z30" i="11" s="1"/>
  <c r="X13" i="15" s="1"/>
  <c r="P30" i="14"/>
  <c r="Q30" i="14" s="1"/>
  <c r="Q35" i="11" s="1"/>
  <c r="P8" i="14"/>
  <c r="Q8" i="14" s="1"/>
  <c r="P25" i="14"/>
  <c r="Q25" i="14" s="1"/>
  <c r="L35" i="11" s="1"/>
  <c r="P18" i="14"/>
  <c r="Q18" i="14" s="1"/>
  <c r="P23" i="14"/>
  <c r="Q23" i="14" s="1"/>
  <c r="J35" i="11" s="1"/>
  <c r="P27" i="14"/>
  <c r="Q27" i="14" s="1"/>
  <c r="N35" i="11" s="1"/>
  <c r="P24" i="14"/>
  <c r="Q24" i="14" s="1"/>
  <c r="K35" i="11" s="1"/>
  <c r="P14" i="14"/>
  <c r="Q14" i="14" s="1"/>
  <c r="P21" i="14"/>
  <c r="Q21" i="14" s="1"/>
  <c r="Q2" i="14"/>
  <c r="I30" i="11" s="1"/>
  <c r="G3" i="15" s="1"/>
  <c r="P26" i="14"/>
  <c r="Q26" i="14" s="1"/>
  <c r="M35" i="11" s="1"/>
  <c r="P10" i="14"/>
  <c r="Q10" i="14" s="1"/>
  <c r="P37" i="14"/>
  <c r="Q37" i="14" s="1"/>
  <c r="X35" i="11" s="1"/>
  <c r="P39" i="14"/>
  <c r="Q39" i="14" s="1"/>
  <c r="Z35" i="11" s="1"/>
  <c r="R3" i="15" l="1"/>
  <c r="R4" i="15" s="1"/>
  <c r="G13" i="15"/>
  <c r="Y3" i="15"/>
  <c r="Y4" i="15" s="1"/>
  <c r="Q3" i="15"/>
  <c r="Q4" i="15" s="1"/>
  <c r="G4" i="15"/>
  <c r="V3" i="15"/>
  <c r="V4" i="15" s="1"/>
  <c r="X3" i="15"/>
  <c r="X4" i="15" s="1"/>
  <c r="I40" i="11"/>
  <c r="X40" i="11"/>
  <c r="T40" i="11"/>
  <c r="AA40" i="11"/>
  <c r="Z40" i="11"/>
  <c r="S40" i="11"/>
  <c r="AD22" i="11"/>
  <c r="AC35" i="11"/>
  <c r="AD35" i="11" s="1"/>
  <c r="J30" i="11"/>
  <c r="Q30" i="11"/>
  <c r="O3" i="15" s="1"/>
  <c r="O4" i="15" s="1"/>
  <c r="Y30" i="11"/>
  <c r="N30" i="11"/>
  <c r="R30" i="11"/>
  <c r="P3" i="15" s="1"/>
  <c r="P4" i="15" s="1"/>
  <c r="W30" i="11"/>
  <c r="O30" i="11"/>
  <c r="P30" i="11"/>
  <c r="V30" i="11"/>
  <c r="AB30" i="11"/>
  <c r="K30" i="11"/>
  <c r="I3" i="15" s="1"/>
  <c r="I4" i="15" s="1"/>
  <c r="L30" i="11"/>
  <c r="U30" i="11"/>
  <c r="M30" i="11"/>
  <c r="P40" i="11" l="1"/>
  <c r="N3" i="15"/>
  <c r="N4" i="15" s="1"/>
  <c r="N13" i="15"/>
  <c r="W40" i="11"/>
  <c r="U3" i="15"/>
  <c r="U4" i="15" s="1"/>
  <c r="U13" i="15"/>
  <c r="U40" i="11"/>
  <c r="S13" i="15"/>
  <c r="S3" i="15"/>
  <c r="S4" i="15" s="1"/>
  <c r="R40" i="11"/>
  <c r="P13" i="15"/>
  <c r="O40" i="11"/>
  <c r="M3" i="15"/>
  <c r="M4" i="15" s="1"/>
  <c r="M13" i="15"/>
  <c r="N40" i="11"/>
  <c r="L3" i="15"/>
  <c r="L4" i="15" s="1"/>
  <c r="L13" i="15"/>
  <c r="Y40" i="11"/>
  <c r="W3" i="15"/>
  <c r="W4" i="15" s="1"/>
  <c r="W13" i="15"/>
  <c r="Q40" i="11"/>
  <c r="O13" i="15"/>
  <c r="M40" i="11"/>
  <c r="K13" i="15"/>
  <c r="K3" i="15"/>
  <c r="K4" i="15" s="1"/>
  <c r="L40" i="11"/>
  <c r="J13" i="15"/>
  <c r="K40" i="11"/>
  <c r="I13" i="15"/>
  <c r="AB40" i="11"/>
  <c r="Z3" i="15"/>
  <c r="Z4" i="15" s="1"/>
  <c r="Z13" i="15"/>
  <c r="V40" i="11"/>
  <c r="T3" i="15"/>
  <c r="T4" i="15" s="1"/>
  <c r="T13" i="15"/>
  <c r="J40" i="11"/>
  <c r="H3" i="15"/>
  <c r="H4" i="15" s="1"/>
  <c r="H13" i="15"/>
  <c r="J3" i="15"/>
  <c r="J4" i="15" s="1"/>
  <c r="AC30" i="11"/>
  <c r="AC40" i="11" l="1"/>
  <c r="AD40" i="11" s="1"/>
  <c r="AD30" i="11"/>
</calcChain>
</file>

<file path=xl/sharedStrings.xml><?xml version="1.0" encoding="utf-8"?>
<sst xmlns="http://schemas.openxmlformats.org/spreadsheetml/2006/main" count="229" uniqueCount="90">
  <si>
    <t>C</t>
  </si>
  <si>
    <t>J</t>
  </si>
  <si>
    <t>A</t>
  </si>
  <si>
    <t>RC</t>
  </si>
  <si>
    <t>RC_CAT</t>
  </si>
  <si>
    <t>RC_AL</t>
  </si>
  <si>
    <t>MV_MMA</t>
  </si>
  <si>
    <t>AJU_SUP</t>
  </si>
  <si>
    <t>AJU_DEF</t>
  </si>
  <si>
    <t>MV_MMAF</t>
  </si>
  <si>
    <t>E</t>
  </si>
  <si>
    <t>M</t>
  </si>
  <si>
    <t>F_MODVC</t>
  </si>
  <si>
    <t>MV_PRE</t>
  </si>
  <si>
    <t>Consumo</t>
  </si>
  <si>
    <t>QV_MAX</t>
  </si>
  <si>
    <t>QV_MIN</t>
  </si>
  <si>
    <t>QV_FP</t>
  </si>
  <si>
    <t>QV_PEX</t>
  </si>
  <si>
    <t>Limite Máximo</t>
  </si>
  <si>
    <t>Limite Mínimo</t>
  </si>
  <si>
    <t>Modulação Ajustada</t>
  </si>
  <si>
    <t>Modulação Contrato Firme</t>
  </si>
  <si>
    <t>Modulação Preliminar do Contrato Flexível</t>
  </si>
  <si>
    <t>Contratação Final Modulada</t>
  </si>
  <si>
    <t>Caracteristicas do Contrato Flexivel por Prioridade</t>
  </si>
  <si>
    <t>Caracteristicas do Contrato Flexivel por Percentual</t>
  </si>
  <si>
    <t>Contrato 1</t>
  </si>
  <si>
    <t>Contrato 2</t>
  </si>
  <si>
    <t xml:space="preserve">Montante Mínimo: </t>
  </si>
  <si>
    <t xml:space="preserve">Montante Máximo: </t>
  </si>
  <si>
    <t>Prioridade:</t>
  </si>
  <si>
    <t>Caracteristicas do Contrato Firme</t>
  </si>
  <si>
    <t>Montante:</t>
  </si>
  <si>
    <t>MW médios</t>
  </si>
  <si>
    <t>Limite máximo de modulação:</t>
  </si>
  <si>
    <t xml:space="preserve">Limite mínimo de modulação: </t>
  </si>
  <si>
    <t xml:space="preserve">Tipo de Modulação: </t>
  </si>
  <si>
    <t>Limite mínimo de modulação:</t>
  </si>
  <si>
    <t xml:space="preserve">Limite máximo de modulação: </t>
  </si>
  <si>
    <t xml:space="preserve">Percentual de atendimento da carga: </t>
  </si>
  <si>
    <t>Carga/Flat/Declarado</t>
  </si>
  <si>
    <t>%</t>
  </si>
  <si>
    <t>Modulação Declarada</t>
  </si>
  <si>
    <t>Modulação</t>
  </si>
  <si>
    <t>Modulação Final</t>
  </si>
  <si>
    <t>Carga</t>
  </si>
  <si>
    <t>MWh</t>
  </si>
  <si>
    <t>Hora</t>
  </si>
  <si>
    <t>Carga Livre*</t>
  </si>
  <si>
    <t>carga</t>
  </si>
  <si>
    <t>Modulação Declarada (MWh)</t>
  </si>
  <si>
    <t>Modulação Final (MWh)</t>
  </si>
  <si>
    <t>TOT_MV</t>
  </si>
  <si>
    <t>BAL_RC_EF</t>
  </si>
  <si>
    <t>FLEX_QV</t>
  </si>
  <si>
    <t>BAL_RC_AJU</t>
  </si>
  <si>
    <t>QV_FLEXC</t>
  </si>
  <si>
    <t>CQ_0</t>
  </si>
  <si>
    <t>Prioridade</t>
  </si>
  <si>
    <t>Firme+Percentual</t>
  </si>
  <si>
    <t>Firme+Percentual+Prioridade1</t>
  </si>
  <si>
    <t>Firme+Percentual+Prioridade1 e 2</t>
  </si>
  <si>
    <t>Firme Modulação mínima</t>
  </si>
  <si>
    <t>Firme Modulação máxima</t>
  </si>
  <si>
    <t>Total contratado</t>
  </si>
  <si>
    <t>Total de carga</t>
  </si>
  <si>
    <t>&gt; No caso de modulação declarada para os CCEALs firmes, preencher todas as células do mês, do contrário as células não preenchidas serão consideradas como sendo zero;</t>
  </si>
  <si>
    <t>Percentual Modulação mínima+Firme</t>
  </si>
  <si>
    <t>Percentual Modulação máxima+Firme</t>
  </si>
  <si>
    <t>Perc.Mod.Mínima</t>
  </si>
  <si>
    <t>Perc.Mod.Máxima</t>
  </si>
  <si>
    <t>Carga-Firme</t>
  </si>
  <si>
    <t>Carga-Firme-Percentual</t>
  </si>
  <si>
    <t>Carga-Firme-Percentual-Prioridade1</t>
  </si>
  <si>
    <t>flat</t>
  </si>
  <si>
    <t>MRE</t>
  </si>
  <si>
    <t>geração</t>
  </si>
  <si>
    <t>MECANISMO DE FLEXIBILIDADE CONTRATUAL</t>
  </si>
  <si>
    <t>Informações importantes para uso da planilha:</t>
  </si>
  <si>
    <t>&gt; Considerar que o mês possui apenas 20 horas e que a carga atendida nesta simulação é livre, ou seja, sem considerar uma eventual parcela cativa;</t>
  </si>
  <si>
    <t>&gt; Caso o contrato firme possua ao menos um valor cadastrado de modulação declarada, as demais informações do contrato (Montante, Tipo de Modulação, Limite mínimo de modulação, Limite máximo de modulação) serão desconsideradas;</t>
  </si>
  <si>
    <t>&gt; O limite mínimo de modulação não poderá ser maior do que o montante mínimo do contrato e o limite máximo de modulação não poderá ser menor do que o montante máximo do contrato;</t>
  </si>
  <si>
    <t>&gt; Ordem de empilhamento corresponde a contrato firme na base, seguido do contrato flexível por percentual, fechando a pilha com os contratos flexíveis por prioridade 1 e 2 respectivamente.</t>
  </si>
  <si>
    <t>&gt; A apresentação da proposta de regulamentação das Portarias MME 185/13 e 455/12, realizada em 21 de agosto de 2013, está disponivel na</t>
  </si>
  <si>
    <t>Biblioteca Virtual.</t>
  </si>
  <si>
    <t>* Não considera a parcela cativa</t>
  </si>
  <si>
    <t>Total (MWh)</t>
  </si>
  <si>
    <t>Total (MW médios)</t>
  </si>
  <si>
    <r>
      <t>&gt; Os tipos de modulação implementados nesta planilha são "</t>
    </r>
    <r>
      <rPr>
        <i/>
        <sz val="10"/>
        <color theme="0"/>
        <rFont val="Verdana"/>
        <family val="2"/>
      </rPr>
      <t>flat"</t>
    </r>
    <r>
      <rPr>
        <sz val="10"/>
        <color theme="0"/>
        <rFont val="Verdana"/>
        <family val="2"/>
      </rPr>
      <t xml:space="preserve"> e conforme "carga".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</si>
</sst>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i/>
      <sz val="10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Verdana"/>
      <family val="2"/>
    </font>
    <font>
      <u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14996795556505021"/>
      </left>
      <right style="medium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indexed="64"/>
      </right>
      <top style="dashed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dashed">
        <color theme="0" tint="-0.14996795556505021"/>
      </top>
      <bottom style="medium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/>
      <top style="dashed">
        <color theme="0" tint="-0.14996795556505021"/>
      </top>
      <bottom style="medium">
        <color indexed="64"/>
      </bottom>
      <diagonal/>
    </border>
    <border>
      <left style="medium">
        <color theme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theme="0" tint="-0.14996795556505021"/>
      </bottom>
      <diagonal/>
    </border>
    <border>
      <left style="medium">
        <color theme="1"/>
      </left>
      <right/>
      <top/>
      <bottom style="dashed">
        <color theme="0" tint="-0.14996795556505021"/>
      </bottom>
      <diagonal/>
    </border>
    <border>
      <left/>
      <right style="medium">
        <color indexed="64"/>
      </right>
      <top/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ashed">
        <color theme="0" tint="-0.14996795556505021"/>
      </top>
      <bottom/>
      <diagonal/>
    </border>
    <border>
      <left/>
      <right/>
      <top style="dashed">
        <color theme="0" tint="-0.14996795556505021"/>
      </top>
      <bottom style="medium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medium">
        <color indexed="64"/>
      </bottom>
      <diagonal/>
    </border>
    <border>
      <left style="dashed">
        <color theme="0" tint="-0.14996795556505021"/>
      </left>
      <right style="medium">
        <color indexed="64"/>
      </right>
      <top style="dashed">
        <color theme="0" tint="-0.14996795556505021"/>
      </top>
      <bottom style="medium">
        <color indexed="64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/>
      <bottom style="dashed">
        <color theme="0" tint="-0.14996795556505021"/>
      </bottom>
      <diagonal/>
    </border>
    <border>
      <left style="dashed">
        <color theme="0" tint="-0.14996795556505021"/>
      </left>
      <right style="medium">
        <color indexed="64"/>
      </right>
      <top/>
      <bottom style="dashed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/>
      <top style="dashed">
        <color theme="0" tint="-0.14996795556505021"/>
      </top>
      <bottom/>
      <diagonal/>
    </border>
    <border>
      <left style="dashed">
        <color theme="0" tint="-0.14996795556505021"/>
      </left>
      <right style="medium">
        <color indexed="64"/>
      </right>
      <top style="dashed">
        <color theme="0" tint="-0.14996795556505021"/>
      </top>
      <bottom/>
      <diagonal/>
    </border>
    <border>
      <left style="medium">
        <color theme="1"/>
      </left>
      <right/>
      <top style="dashed">
        <color theme="0" tint="-0.14996795556505021"/>
      </top>
      <bottom style="medium">
        <color indexed="64"/>
      </bottom>
      <diagonal/>
    </border>
    <border>
      <left/>
      <right style="dashed">
        <color theme="0" tint="-0.14996795556505021"/>
      </right>
      <top style="medium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medium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medium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medium">
        <color indexed="64"/>
      </right>
      <top style="medium">
        <color indexed="64"/>
      </top>
      <bottom style="dashed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ed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Fill="1"/>
    <xf numFmtId="0" fontId="1" fillId="2" borderId="0" xfId="0" applyFont="1" applyFill="1"/>
    <xf numFmtId="164" fontId="0" fillId="0" borderId="0" xfId="0" applyNumberFormat="1"/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5" borderId="0" xfId="0" applyFont="1" applyFill="1" applyBorder="1"/>
    <xf numFmtId="0" fontId="4" fillId="5" borderId="12" xfId="0" applyFont="1" applyFill="1" applyBorder="1"/>
    <xf numFmtId="0" fontId="4" fillId="5" borderId="3" xfId="0" applyFont="1" applyFill="1" applyBorder="1"/>
    <xf numFmtId="0" fontId="4" fillId="5" borderId="26" xfId="0" applyFont="1" applyFill="1" applyBorder="1"/>
    <xf numFmtId="0" fontId="4" fillId="5" borderId="25" xfId="0" applyFont="1" applyFill="1" applyBorder="1"/>
    <xf numFmtId="0" fontId="4" fillId="5" borderId="16" xfId="0" applyFont="1" applyFill="1" applyBorder="1"/>
    <xf numFmtId="0" fontId="4" fillId="5" borderId="13" xfId="0" applyFont="1" applyFill="1" applyBorder="1"/>
    <xf numFmtId="0" fontId="4" fillId="5" borderId="10" xfId="0" applyFont="1" applyFill="1" applyBorder="1"/>
    <xf numFmtId="0" fontId="4" fillId="6" borderId="37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0" fontId="2" fillId="0" borderId="0" xfId="0" applyFont="1"/>
    <xf numFmtId="0" fontId="4" fillId="6" borderId="9" xfId="0" applyFont="1" applyFill="1" applyBorder="1" applyAlignment="1">
      <alignment horizontal="left"/>
    </xf>
    <xf numFmtId="0" fontId="4" fillId="6" borderId="9" xfId="0" applyFont="1" applyFill="1" applyBorder="1"/>
    <xf numFmtId="0" fontId="4" fillId="6" borderId="11" xfId="0" applyFont="1" applyFill="1" applyBorder="1"/>
    <xf numFmtId="0" fontId="4" fillId="6" borderId="0" xfId="0" applyFont="1" applyFill="1" applyBorder="1"/>
    <xf numFmtId="0" fontId="4" fillId="6" borderId="2" xfId="0" applyFont="1" applyFill="1" applyBorder="1"/>
    <xf numFmtId="0" fontId="4" fillId="6" borderId="12" xfId="0" applyFont="1" applyFill="1" applyBorder="1"/>
    <xf numFmtId="0" fontId="4" fillId="6" borderId="27" xfId="0" applyFont="1" applyFill="1" applyBorder="1"/>
    <xf numFmtId="0" fontId="4" fillId="6" borderId="1" xfId="0" applyFont="1" applyFill="1" applyBorder="1"/>
    <xf numFmtId="0" fontId="4" fillId="6" borderId="3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8" xfId="0" applyFont="1" applyFill="1" applyBorder="1"/>
    <xf numFmtId="0" fontId="4" fillId="6" borderId="28" xfId="0" applyFont="1" applyFill="1" applyBorder="1"/>
    <xf numFmtId="0" fontId="4" fillId="6" borderId="29" xfId="0" applyFont="1" applyFill="1" applyBorder="1"/>
    <xf numFmtId="0" fontId="4" fillId="6" borderId="30" xfId="0" applyFont="1" applyFill="1" applyBorder="1"/>
    <xf numFmtId="0" fontId="7" fillId="7" borderId="34" xfId="0" applyFont="1" applyFill="1" applyBorder="1"/>
    <xf numFmtId="0" fontId="4" fillId="0" borderId="0" xfId="0" applyFont="1" applyAlignment="1">
      <alignment horizontal="center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9" fontId="4" fillId="4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6" borderId="39" xfId="0" applyFont="1" applyFill="1" applyBorder="1"/>
    <xf numFmtId="0" fontId="4" fillId="0" borderId="4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/>
    <xf numFmtId="0" fontId="4" fillId="5" borderId="41" xfId="0" applyFont="1" applyFill="1" applyBorder="1"/>
    <xf numFmtId="0" fontId="4" fillId="6" borderId="26" xfId="0" applyFont="1" applyFill="1" applyBorder="1"/>
    <xf numFmtId="0" fontId="4" fillId="5" borderId="44" xfId="0" applyFont="1" applyFill="1" applyBorder="1"/>
    <xf numFmtId="0" fontId="8" fillId="0" borderId="0" xfId="0" applyFont="1" applyFill="1" applyBorder="1" applyAlignment="1">
      <alignment horizontal="center" wrapText="1"/>
    </xf>
    <xf numFmtId="0" fontId="4" fillId="6" borderId="19" xfId="1" applyNumberFormat="1" applyFont="1" applyFill="1" applyBorder="1" applyAlignment="1" applyProtection="1">
      <alignment horizontal="center" vertical="center"/>
      <protection locked="0"/>
    </xf>
    <xf numFmtId="0" fontId="8" fillId="8" borderId="0" xfId="0" applyFont="1" applyFill="1"/>
    <xf numFmtId="0" fontId="9" fillId="8" borderId="0" xfId="0" applyFont="1" applyFill="1" applyAlignment="1">
      <alignment horizontal="center"/>
    </xf>
    <xf numFmtId="0" fontId="9" fillId="8" borderId="0" xfId="0" applyFont="1" applyFill="1"/>
    <xf numFmtId="0" fontId="8" fillId="8" borderId="0" xfId="0" applyFont="1" applyFill="1" applyAlignment="1">
      <alignment horizontal="centerContinuous"/>
    </xf>
    <xf numFmtId="0" fontId="8" fillId="8" borderId="0" xfId="0" applyFont="1" applyFill="1" applyAlignment="1"/>
    <xf numFmtId="0" fontId="4" fillId="6" borderId="17" xfId="0" applyFont="1" applyFill="1" applyBorder="1"/>
    <xf numFmtId="0" fontId="4" fillId="6" borderId="18" xfId="0" applyFont="1" applyFill="1" applyBorder="1"/>
    <xf numFmtId="0" fontId="4" fillId="6" borderId="42" xfId="1" applyNumberFormat="1" applyFont="1" applyFill="1" applyBorder="1" applyAlignment="1" applyProtection="1">
      <alignment horizontal="center" vertical="center"/>
      <protection locked="0"/>
    </xf>
    <xf numFmtId="0" fontId="4" fillId="6" borderId="43" xfId="1" applyNumberFormat="1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/>
    <xf numFmtId="43" fontId="4" fillId="6" borderId="25" xfId="1" applyFont="1" applyFill="1" applyBorder="1"/>
    <xf numFmtId="43" fontId="4" fillId="6" borderId="19" xfId="1" applyFont="1" applyFill="1" applyBorder="1" applyAlignment="1" applyProtection="1">
      <alignment horizontal="center" vertical="center"/>
      <protection locked="0"/>
    </xf>
    <xf numFmtId="0" fontId="4" fillId="6" borderId="45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0" borderId="51" xfId="1" applyNumberFormat="1" applyFont="1" applyFill="1" applyBorder="1" applyAlignment="1" applyProtection="1">
      <alignment horizontal="right" vertical="center"/>
      <protection locked="0"/>
    </xf>
    <xf numFmtId="0" fontId="4" fillId="0" borderId="52" xfId="1" applyNumberFormat="1" applyFont="1" applyFill="1" applyBorder="1" applyAlignment="1" applyProtection="1">
      <alignment horizontal="right" vertical="center"/>
      <protection locked="0"/>
    </xf>
    <xf numFmtId="0" fontId="4" fillId="0" borderId="53" xfId="1" applyNumberFormat="1" applyFont="1" applyFill="1" applyBorder="1" applyAlignment="1" applyProtection="1">
      <alignment horizontal="right" vertical="center"/>
      <protection locked="0"/>
    </xf>
    <xf numFmtId="0" fontId="4" fillId="6" borderId="52" xfId="1" applyNumberFormat="1" applyFont="1" applyFill="1" applyBorder="1" applyAlignment="1" applyProtection="1">
      <alignment horizontal="center" vertical="center"/>
      <protection locked="0"/>
    </xf>
    <xf numFmtId="0" fontId="4" fillId="6" borderId="54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/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8" borderId="9" xfId="0" applyFont="1" applyFill="1" applyBorder="1"/>
    <xf numFmtId="0" fontId="4" fillId="8" borderId="0" xfId="0" applyFont="1" applyFill="1" applyBorder="1"/>
    <xf numFmtId="0" fontId="9" fillId="8" borderId="9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left"/>
    </xf>
    <xf numFmtId="0" fontId="9" fillId="8" borderId="11" xfId="0" applyFont="1" applyFill="1" applyBorder="1" applyAlignment="1">
      <alignment horizontal="left" wrapText="1"/>
    </xf>
    <xf numFmtId="0" fontId="9" fillId="8" borderId="12" xfId="0" applyFont="1" applyFill="1" applyBorder="1" applyAlignment="1">
      <alignment horizontal="left" wrapText="1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50" xfId="0" applyFont="1" applyFill="1" applyBorder="1" applyAlignment="1">
      <alignment horizontal="center"/>
    </xf>
    <xf numFmtId="0" fontId="8" fillId="8" borderId="0" xfId="0" applyFont="1" applyFill="1" applyAlignment="1">
      <alignment horizontal="left"/>
    </xf>
    <xf numFmtId="0" fontId="13" fillId="8" borderId="0" xfId="2" applyFont="1" applyFill="1" applyAlignment="1">
      <alignment horizontal="left"/>
    </xf>
    <xf numFmtId="0" fontId="12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8" borderId="4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6" borderId="8" xfId="0" applyFont="1" applyFill="1" applyBorder="1" applyAlignment="1"/>
    <xf numFmtId="0" fontId="4" fillId="6" borderId="60" xfId="0" applyFont="1" applyFill="1" applyBorder="1"/>
    <xf numFmtId="0" fontId="4" fillId="4" borderId="61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>
      <alignment vertical="center"/>
    </xf>
    <xf numFmtId="0" fontId="4" fillId="4" borderId="40" xfId="0" applyFont="1" applyFill="1" applyBorder="1" applyAlignment="1" applyProtection="1">
      <alignment horizontal="center" vertical="center"/>
      <protection locked="0"/>
    </xf>
    <xf numFmtId="0" fontId="4" fillId="6" borderId="62" xfId="0" applyFont="1" applyFill="1" applyBorder="1" applyAlignment="1">
      <alignment horizontal="center"/>
    </xf>
    <xf numFmtId="0" fontId="4" fillId="6" borderId="62" xfId="0" applyFont="1" applyFill="1" applyBorder="1" applyAlignment="1" applyProtection="1">
      <alignment horizont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Carga x contratação total discretizada e acumulada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'Tela de entrada'!$B$13:$B$32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'Tela de entrada'!$C$13:$C$32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Contrato Firme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'Tela de entrada'!$B$13:$B$32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'Tela de entrada'!$I$17:$AB$17</c:f>
              <c:numCache>
                <c:formatCode>General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ser>
          <c:idx val="2"/>
          <c:order val="2"/>
          <c:tx>
            <c:v>Contrato Flexível Percentual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'Tela de entrada'!$B$13:$B$32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Plan5!$G$2:$Z$2</c:f>
              <c:numCache>
                <c:formatCode>General</c:formatCode>
                <c:ptCount val="20"/>
                <c:pt idx="0">
                  <c:v>3.5</c:v>
                </c:pt>
                <c:pt idx="1">
                  <c:v>3.5</c:v>
                </c:pt>
                <c:pt idx="2">
                  <c:v>10.5</c:v>
                </c:pt>
                <c:pt idx="3">
                  <c:v>10.5</c:v>
                </c:pt>
                <c:pt idx="4">
                  <c:v>24.5</c:v>
                </c:pt>
                <c:pt idx="5">
                  <c:v>24.5</c:v>
                </c:pt>
                <c:pt idx="6">
                  <c:v>28</c:v>
                </c:pt>
                <c:pt idx="7">
                  <c:v>35</c:v>
                </c:pt>
                <c:pt idx="8">
                  <c:v>35</c:v>
                </c:pt>
                <c:pt idx="9">
                  <c:v>42</c:v>
                </c:pt>
                <c:pt idx="10">
                  <c:v>45.5</c:v>
                </c:pt>
                <c:pt idx="11">
                  <c:v>42</c:v>
                </c:pt>
                <c:pt idx="12">
                  <c:v>38.5</c:v>
                </c:pt>
                <c:pt idx="13">
                  <c:v>42</c:v>
                </c:pt>
                <c:pt idx="14">
                  <c:v>42</c:v>
                </c:pt>
                <c:pt idx="15">
                  <c:v>35</c:v>
                </c:pt>
                <c:pt idx="16">
                  <c:v>31.5</c:v>
                </c:pt>
                <c:pt idx="17">
                  <c:v>28</c:v>
                </c:pt>
                <c:pt idx="18">
                  <c:v>21</c:v>
                </c:pt>
                <c:pt idx="19">
                  <c:v>17.5</c:v>
                </c:pt>
              </c:numCache>
            </c:numRef>
          </c:val>
          <c:smooth val="0"/>
        </c:ser>
        <c:ser>
          <c:idx val="3"/>
          <c:order val="3"/>
          <c:tx>
            <c:v>Contrato Flexível por Prioridade 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Plan5!$G$3:$Z$3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34.5</c:v>
                </c:pt>
                <c:pt idx="5">
                  <c:v>34.5</c:v>
                </c:pt>
                <c:pt idx="6">
                  <c:v>38</c:v>
                </c:pt>
                <c:pt idx="7">
                  <c:v>45</c:v>
                </c:pt>
                <c:pt idx="8">
                  <c:v>45</c:v>
                </c:pt>
                <c:pt idx="9">
                  <c:v>52</c:v>
                </c:pt>
                <c:pt idx="10">
                  <c:v>55.5</c:v>
                </c:pt>
                <c:pt idx="11">
                  <c:v>52</c:v>
                </c:pt>
                <c:pt idx="12">
                  <c:v>48.5</c:v>
                </c:pt>
                <c:pt idx="13">
                  <c:v>52</c:v>
                </c:pt>
                <c:pt idx="14">
                  <c:v>52</c:v>
                </c:pt>
                <c:pt idx="15">
                  <c:v>45</c:v>
                </c:pt>
                <c:pt idx="16">
                  <c:v>41.5</c:v>
                </c:pt>
                <c:pt idx="17">
                  <c:v>38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v>Contrato Flexível por Prioridade 2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Plan5!$G$4:$Z$4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833696"/>
        <c:axId val="590832912"/>
      </c:lineChart>
      <c:catAx>
        <c:axId val="59083369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32912"/>
        <c:crosses val="autoZero"/>
        <c:auto val="1"/>
        <c:lblAlgn val="ctr"/>
        <c:lblOffset val="100"/>
        <c:noMultiLvlLbl val="0"/>
      </c:catAx>
      <c:valAx>
        <c:axId val="59083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Figura 9: Consumo e Modulação do Contrato Firme</a:t>
            </a:r>
            <a:endParaRPr lang="pt-BR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Percentual'!$AC$1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Percentual'!$AC$2:$AC$21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873264"/>
        <c:axId val="332876400"/>
      </c:lineChart>
      <c:catAx>
        <c:axId val="3328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2876400"/>
        <c:crosses val="autoZero"/>
        <c:auto val="1"/>
        <c:lblAlgn val="ctr"/>
        <c:lblOffset val="100"/>
        <c:noMultiLvlLbl val="0"/>
      </c:catAx>
      <c:valAx>
        <c:axId val="33287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2873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Figura 13:</a:t>
            </a:r>
            <a:r>
              <a:rPr lang="pt-BR" b="1" baseline="0"/>
              <a:t> Consumo e contratação final do Agente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65141454366175"/>
          <c:y val="0.17171296296296296"/>
          <c:w val="0.71362577641959046"/>
          <c:h val="0.46029454651501894"/>
        </c:manualLayout>
      </c:layout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Percentual'!$AC$1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Percentual'!$AC$2:$AC$21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Flexível Percentual'!$AG$1</c:f>
              <c:strCache>
                <c:ptCount val="1"/>
                <c:pt idx="0">
                  <c:v>Modulação Ajustada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Percentual'!$AG$2:$AG$21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Flexível Percentual'!$AH$1</c:f>
              <c:strCache>
                <c:ptCount val="1"/>
                <c:pt idx="0">
                  <c:v>Contratação Final Modulada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Percentual'!$AH$2:$AH$21</c:f>
              <c:numCache>
                <c:formatCode>0.0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  <c:pt idx="7">
                  <c:v>55</c:v>
                </c:pt>
                <c:pt idx="8">
                  <c:v>55</c:v>
                </c:pt>
                <c:pt idx="9">
                  <c:v>57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57</c:v>
                </c:pt>
                <c:pt idx="14">
                  <c:v>57</c:v>
                </c:pt>
                <c:pt idx="15">
                  <c:v>55</c:v>
                </c:pt>
                <c:pt idx="16">
                  <c:v>49</c:v>
                </c:pt>
                <c:pt idx="17">
                  <c:v>48</c:v>
                </c:pt>
                <c:pt idx="18">
                  <c:v>31</c:v>
                </c:pt>
                <c:pt idx="1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468464"/>
        <c:axId val="596469640"/>
      </c:lineChart>
      <c:catAx>
        <c:axId val="59646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Horas</a:t>
                </a:r>
              </a:p>
            </c:rich>
          </c:tx>
          <c:layout>
            <c:manualLayout>
              <c:xMode val="edge"/>
              <c:yMode val="edge"/>
              <c:x val="0.56268150576070208"/>
              <c:y val="0.55923592884222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6469640"/>
        <c:crosses val="autoZero"/>
        <c:auto val="1"/>
        <c:lblAlgn val="ctr"/>
        <c:lblOffset val="100"/>
        <c:noMultiLvlLbl val="0"/>
      </c:catAx>
      <c:valAx>
        <c:axId val="59646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MWh</a:t>
                </a:r>
              </a:p>
            </c:rich>
          </c:tx>
          <c:layout>
            <c:manualLayout>
              <c:xMode val="edge"/>
              <c:yMode val="edge"/>
              <c:x val="0.19398121637505381"/>
              <c:y val="0.2891287547389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6468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Figura 10: Consumo</a:t>
            </a:r>
            <a:r>
              <a:rPr lang="pt-BR" b="1" baseline="0">
                <a:solidFill>
                  <a:schemeClr val="tx1"/>
                </a:solidFill>
              </a:rPr>
              <a:t> x Modulação Preliminar do Contrato</a:t>
            </a:r>
            <a:endParaRPr lang="pt-BR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4259844860350375"/>
          <c:y val="0.24120196106337141"/>
          <c:w val="0.65740155139649625"/>
          <c:h val="0.51839683697170025"/>
        </c:manualLayout>
      </c:layout>
      <c:lineChart>
        <c:grouping val="standard"/>
        <c:varyColors val="0"/>
        <c:ser>
          <c:idx val="0"/>
          <c:order val="0"/>
          <c:tx>
            <c:strRef>
              <c:f>'Contrato Firme'!$X$1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Firme'!$X$2:$X$21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Firme'!$Y$1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Firme'!$Y$2:$Y$21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Firme'!$Z$1</c:f>
              <c:strCache>
                <c:ptCount val="1"/>
                <c:pt idx="0">
                  <c:v>Modulação Preliminar do Contrato Flexível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Firme'!$Z$2:$Z$21</c:f>
              <c:numCache>
                <c:formatCode>0.0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94512"/>
        <c:axId val="423293728"/>
      </c:lineChart>
      <c:catAx>
        <c:axId val="423294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Horas</a:t>
                </a:r>
              </a:p>
            </c:rich>
          </c:tx>
          <c:layout>
            <c:manualLayout>
              <c:xMode val="edge"/>
              <c:yMode val="edge"/>
              <c:x val="0.61012906097282971"/>
              <c:y val="0.65927899344489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3293728"/>
        <c:crosses val="autoZero"/>
        <c:auto val="1"/>
        <c:lblAlgn val="ctr"/>
        <c:lblOffset val="100"/>
        <c:noMultiLvlLbl val="0"/>
      </c:catAx>
      <c:valAx>
        <c:axId val="42329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25833333333333336"/>
              <c:y val="0.32092228054826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3294512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Figura 11: Limites de Modulação do</a:t>
            </a:r>
            <a:r>
              <a:rPr lang="pt-BR" b="1" baseline="0">
                <a:solidFill>
                  <a:schemeClr val="tx1"/>
                </a:solidFill>
              </a:rPr>
              <a:t> Contrato Fleível</a:t>
            </a:r>
            <a:endParaRPr lang="pt-BR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5811178185054449"/>
          <c:y val="0.14674579624134521"/>
          <c:w val="0.63492188405444583"/>
          <c:h val="0.55144870986082228"/>
        </c:manualLayout>
      </c:layout>
      <c:lineChart>
        <c:grouping val="standard"/>
        <c:varyColors val="0"/>
        <c:ser>
          <c:idx val="0"/>
          <c:order val="0"/>
          <c:tx>
            <c:strRef>
              <c:f>'Contrato Firme'!$X$1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Firme'!$X$2:$X$21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Firme'!$Z$1</c:f>
              <c:strCache>
                <c:ptCount val="1"/>
                <c:pt idx="0">
                  <c:v>Modulação Preliminar do Contrato Flexível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Firme'!$Z$2:$Z$21</c:f>
              <c:numCache>
                <c:formatCode>0.0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Firme'!$AA$1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Firme'!$AA$2:$AA$21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Firme'!$AB$1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Firme'!$AB$2:$AB$21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76024"/>
        <c:axId val="409175632"/>
      </c:lineChart>
      <c:catAx>
        <c:axId val="409176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Horas</a:t>
                </a:r>
              </a:p>
            </c:rich>
          </c:tx>
          <c:layout>
            <c:manualLayout>
              <c:xMode val="edge"/>
              <c:yMode val="edge"/>
              <c:x val="0.59860188612070175"/>
              <c:y val="0.61936680763569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9175632"/>
        <c:crosses val="autoZero"/>
        <c:auto val="1"/>
        <c:lblAlgn val="ctr"/>
        <c:lblOffset val="100"/>
        <c:noMultiLvlLbl val="0"/>
      </c:catAx>
      <c:valAx>
        <c:axId val="40917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26498422712933756"/>
              <c:y val="0.3212237046036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9176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Figura 12: Modulação Ajustada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'Contrato Firme'!$X$1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Firme'!$X$2:$X$21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Firme'!$Z$1</c:f>
              <c:strCache>
                <c:ptCount val="1"/>
                <c:pt idx="0">
                  <c:v>Modulação Preliminar do Contrato Flexível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Firme'!$Z$2:$Z$21</c:f>
              <c:numCache>
                <c:formatCode>0.0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Firme'!$AA$1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Firme'!$AA$2:$AA$21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Firme'!$AB$1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Firme'!$AB$2:$AB$21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'Contrato Firme'!$AC$1</c:f>
              <c:strCache>
                <c:ptCount val="1"/>
                <c:pt idx="0">
                  <c:v>Modulação Ajustada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Firme'!$AC$2:$AC$21</c:f>
              <c:numCache>
                <c:formatCode>0.0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546304"/>
        <c:axId val="617547480"/>
      </c:lineChart>
      <c:catAx>
        <c:axId val="617546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Horas</a:t>
                </a:r>
              </a:p>
            </c:rich>
          </c:tx>
          <c:layout>
            <c:manualLayout>
              <c:xMode val="edge"/>
              <c:yMode val="edge"/>
              <c:x val="0.54307227415005033"/>
              <c:y val="0.66128621525941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7547480"/>
        <c:crosses val="autoZero"/>
        <c:auto val="1"/>
        <c:lblAlgn val="ctr"/>
        <c:lblOffset val="100"/>
        <c:noMultiLvlLbl val="0"/>
      </c:catAx>
      <c:valAx>
        <c:axId val="61754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14121962402567628"/>
              <c:y val="0.363143892426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75463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Figura 9: Consumo e Modulação do Contrato Firme</a:t>
            </a:r>
            <a:endParaRPr lang="pt-BR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'Contrato Firme'!$X$1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Firme'!$X$2:$X$21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Firme'!$Y$1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Firme'!$Y$2:$Y$21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706608"/>
        <c:axId val="587537984"/>
      </c:lineChart>
      <c:catAx>
        <c:axId val="58870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7537984"/>
        <c:crosses val="autoZero"/>
        <c:auto val="1"/>
        <c:lblAlgn val="ctr"/>
        <c:lblOffset val="100"/>
        <c:noMultiLvlLbl val="0"/>
      </c:catAx>
      <c:valAx>
        <c:axId val="58753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870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Figura 13:</a:t>
            </a:r>
            <a:r>
              <a:rPr lang="pt-BR" b="1" baseline="0"/>
              <a:t> Consumo e contratação final do Agente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65141454366175"/>
          <c:y val="0.17171296296296296"/>
          <c:w val="0.71362577641959046"/>
          <c:h val="0.46029454651501894"/>
        </c:manualLayout>
      </c:layout>
      <c:lineChart>
        <c:grouping val="standard"/>
        <c:varyColors val="0"/>
        <c:ser>
          <c:idx val="0"/>
          <c:order val="0"/>
          <c:tx>
            <c:strRef>
              <c:f>'Contrato Firme'!$X$1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Firme'!$X$2:$X$21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Firme'!$Y$1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Firme'!$Y$2:$Y$21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Firme'!$AC$1</c:f>
              <c:strCache>
                <c:ptCount val="1"/>
                <c:pt idx="0">
                  <c:v>Modulação Ajustada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Firme'!$AC$2:$AC$21</c:f>
              <c:numCache>
                <c:formatCode>0.0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Firme'!$AD$1</c:f>
              <c:strCache>
                <c:ptCount val="1"/>
                <c:pt idx="0">
                  <c:v>Contratação Final Modulada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'Contrato Firme'!$W$2:$W$21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Firme'!$AD$2:$AD$21</c:f>
              <c:numCache>
                <c:formatCode>0.0</c:formatCode>
                <c:ptCount val="20"/>
                <c:pt idx="0">
                  <c:v>7.5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32.5</c:v>
                </c:pt>
                <c:pt idx="5">
                  <c:v>32.5</c:v>
                </c:pt>
                <c:pt idx="6">
                  <c:v>35</c:v>
                </c:pt>
                <c:pt idx="7">
                  <c:v>70</c:v>
                </c:pt>
                <c:pt idx="8">
                  <c:v>70</c:v>
                </c:pt>
                <c:pt idx="9">
                  <c:v>75</c:v>
                </c:pt>
                <c:pt idx="10">
                  <c:v>77.5</c:v>
                </c:pt>
                <c:pt idx="11">
                  <c:v>75</c:v>
                </c:pt>
                <c:pt idx="12">
                  <c:v>72.5</c:v>
                </c:pt>
                <c:pt idx="13">
                  <c:v>75</c:v>
                </c:pt>
                <c:pt idx="14">
                  <c:v>75</c:v>
                </c:pt>
                <c:pt idx="15">
                  <c:v>70</c:v>
                </c:pt>
                <c:pt idx="16">
                  <c:v>62.5</c:v>
                </c:pt>
                <c:pt idx="17">
                  <c:v>60</c:v>
                </c:pt>
                <c:pt idx="18">
                  <c:v>40</c:v>
                </c:pt>
                <c:pt idx="19">
                  <c:v>37.5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704680"/>
        <c:axId val="407705072"/>
      </c:lineChart>
      <c:catAx>
        <c:axId val="407704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Horas</a:t>
                </a:r>
              </a:p>
            </c:rich>
          </c:tx>
          <c:layout>
            <c:manualLayout>
              <c:xMode val="edge"/>
              <c:yMode val="edge"/>
              <c:x val="0.56268150576070208"/>
              <c:y val="0.55923592884222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7705072"/>
        <c:crosses val="autoZero"/>
        <c:auto val="1"/>
        <c:lblAlgn val="ctr"/>
        <c:lblOffset val="100"/>
        <c:noMultiLvlLbl val="0"/>
      </c:catAx>
      <c:valAx>
        <c:axId val="40770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MWh</a:t>
                </a:r>
              </a:p>
            </c:rich>
          </c:tx>
          <c:layout>
            <c:manualLayout>
              <c:xMode val="edge"/>
              <c:yMode val="edge"/>
              <c:x val="0.19398121637505381"/>
              <c:y val="0.2891287547389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7704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Carga x contrato flexível por percentual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Carga Livre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Plan5!$G$11:$Z$11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0"/>
          <c:order val="1"/>
          <c:tx>
            <c:v>Contrato Flexível por Percentual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entrada'!$I$22:$AB$22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Limite Mínimo de Modulação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Plan5!$G$9:$Z$9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Limite Máximo de Modulação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Plan5!$G$10:$Z$10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828992"/>
        <c:axId val="590820760"/>
      </c:lineChart>
      <c:catAx>
        <c:axId val="590828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20760"/>
        <c:crosses val="autoZero"/>
        <c:auto val="1"/>
        <c:lblAlgn val="ctr"/>
        <c:lblOffset val="100"/>
        <c:noMultiLvlLbl val="0"/>
      </c:catAx>
      <c:valAx>
        <c:axId val="5908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2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Carga x contrato firme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Carga livre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entrada'!$C$13:$C$32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0"/>
          <c:order val="1"/>
          <c:tx>
            <c:v>Contrato firme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entrada'!$I$17:$AB$17</c:f>
              <c:numCache>
                <c:formatCode>General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7.5</c:v>
                </c:pt>
                <c:pt idx="3">
                  <c:v>7.5</c:v>
                </c:pt>
                <c:pt idx="4">
                  <c:v>17.5</c:v>
                </c:pt>
                <c:pt idx="5">
                  <c:v>17.5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  <c:pt idx="10">
                  <c:v>32.5</c:v>
                </c:pt>
                <c:pt idx="11">
                  <c:v>30</c:v>
                </c:pt>
                <c:pt idx="12">
                  <c:v>27.500000000000004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22.5</c:v>
                </c:pt>
                <c:pt idx="17">
                  <c:v>20</c:v>
                </c:pt>
                <c:pt idx="18">
                  <c:v>15</c:v>
                </c:pt>
                <c:pt idx="19">
                  <c:v>12.5</c:v>
                </c:pt>
              </c:numCache>
            </c:numRef>
          </c:val>
          <c:smooth val="0"/>
        </c:ser>
        <c:ser>
          <c:idx val="2"/>
          <c:order val="2"/>
          <c:tx>
            <c:v>Limite mínimo de modulação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Plan5!$G$5:$Z$5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v>Limite máximo de modulação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Plan5!$G$6:$Z$6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800224"/>
        <c:axId val="584800616"/>
      </c:lineChart>
      <c:catAx>
        <c:axId val="584800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4800616"/>
        <c:crosses val="autoZero"/>
        <c:auto val="1"/>
        <c:lblAlgn val="ctr"/>
        <c:lblOffset val="100"/>
        <c:noMultiLvlLbl val="0"/>
      </c:catAx>
      <c:valAx>
        <c:axId val="58480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480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Carga</a:t>
            </a:r>
            <a:r>
              <a:rPr lang="pt-BR" sz="1600" baseline="0"/>
              <a:t> x contrato flexível por prioridade 1</a:t>
            </a:r>
            <a:endParaRPr lang="pt-BR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Plan5!$G$12:$Z$12</c:f>
              <c:numCache>
                <c:formatCode>General</c:formatCode>
                <c:ptCount val="20"/>
                <c:pt idx="0">
                  <c:v>1.5</c:v>
                </c:pt>
                <c:pt idx="1">
                  <c:v>1.5</c:v>
                </c:pt>
                <c:pt idx="2">
                  <c:v>4.5</c:v>
                </c:pt>
                <c:pt idx="3">
                  <c:v>4.5</c:v>
                </c:pt>
                <c:pt idx="4">
                  <c:v>10.5</c:v>
                </c:pt>
                <c:pt idx="5">
                  <c:v>10.5</c:v>
                </c:pt>
                <c:pt idx="6">
                  <c:v>12</c:v>
                </c:pt>
                <c:pt idx="7">
                  <c:v>15</c:v>
                </c:pt>
                <c:pt idx="8">
                  <c:v>15</c:v>
                </c:pt>
                <c:pt idx="9">
                  <c:v>18</c:v>
                </c:pt>
                <c:pt idx="10">
                  <c:v>19.5</c:v>
                </c:pt>
                <c:pt idx="11">
                  <c:v>18</c:v>
                </c:pt>
                <c:pt idx="12">
                  <c:v>16.499999999999996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13.5</c:v>
                </c:pt>
                <c:pt idx="17">
                  <c:v>12</c:v>
                </c:pt>
                <c:pt idx="18">
                  <c:v>9</c:v>
                </c:pt>
                <c:pt idx="19">
                  <c:v>7.5</c:v>
                </c:pt>
              </c:numCache>
            </c:numRef>
          </c:val>
          <c:smooth val="0"/>
        </c:ser>
        <c:ser>
          <c:idx val="1"/>
          <c:order val="1"/>
          <c:tx>
            <c:v>Contrato Flexível por Prioridade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entrada'!$I$30:$AB$30</c:f>
              <c:numCache>
                <c:formatCode>General</c:formatCode>
                <c:ptCount val="20"/>
                <c:pt idx="0">
                  <c:v>1.5</c:v>
                </c:pt>
                <c:pt idx="1">
                  <c:v>1.5</c:v>
                </c:pt>
                <c:pt idx="2">
                  <c:v>4.5</c:v>
                </c:pt>
                <c:pt idx="3">
                  <c:v>4.5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99440"/>
        <c:axId val="584801008"/>
      </c:lineChart>
      <c:catAx>
        <c:axId val="584799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4801008"/>
        <c:crosses val="autoZero"/>
        <c:auto val="1"/>
        <c:lblAlgn val="ctr"/>
        <c:lblOffset val="100"/>
        <c:noMultiLvlLbl val="0"/>
      </c:catAx>
      <c:valAx>
        <c:axId val="58480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479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Carga x contrato flexível</a:t>
            </a:r>
            <a:r>
              <a:rPr lang="pt-BR" baseline="0"/>
              <a:t> por prioridade 2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Carga livre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Plan5!$G$13:$Z$13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9.5</c:v>
                </c:pt>
                <c:pt idx="11">
                  <c:v>8</c:v>
                </c:pt>
                <c:pt idx="12">
                  <c:v>6.4999999999999964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3.5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Contrato Flexível por Prioridade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entrada'!$I$35:$AB$35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9.5</c:v>
                </c:pt>
                <c:pt idx="11">
                  <c:v>8</c:v>
                </c:pt>
                <c:pt idx="12">
                  <c:v>6.5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3.5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806496"/>
        <c:axId val="656920504"/>
      </c:lineChart>
      <c:catAx>
        <c:axId val="584806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6920504"/>
        <c:crosses val="autoZero"/>
        <c:auto val="1"/>
        <c:lblAlgn val="ctr"/>
        <c:lblOffset val="100"/>
        <c:noMultiLvlLbl val="0"/>
      </c:catAx>
      <c:valAx>
        <c:axId val="65692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480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Carga x contratação</a:t>
            </a:r>
            <a:r>
              <a:rPr lang="pt-BR" sz="1600" baseline="0"/>
              <a:t> total</a:t>
            </a:r>
            <a:endParaRPr lang="pt-BR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Carga livre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'Tela de entrada'!$C$13:$C$32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0"/>
          <c:order val="1"/>
          <c:tx>
            <c:v>Contratação Total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Plan5!$G$4:$Z$4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917760"/>
        <c:axId val="656919328"/>
      </c:lineChart>
      <c:catAx>
        <c:axId val="656917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6919328"/>
        <c:crosses val="autoZero"/>
        <c:auto val="1"/>
        <c:lblAlgn val="ctr"/>
        <c:lblOffset val="100"/>
        <c:noMultiLvlLbl val="0"/>
      </c:catAx>
      <c:valAx>
        <c:axId val="6569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691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Figura 10: Consumo</a:t>
            </a:r>
            <a:r>
              <a:rPr lang="pt-BR" b="1" baseline="0">
                <a:solidFill>
                  <a:schemeClr val="tx1"/>
                </a:solidFill>
              </a:rPr>
              <a:t> x Modulação Preliminar do Contrato</a:t>
            </a:r>
            <a:endParaRPr lang="pt-BR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4259844860350375"/>
          <c:y val="0.24120196106337141"/>
          <c:w val="0.65740155139649625"/>
          <c:h val="0.51839683697170025"/>
        </c:manualLayout>
      </c:layout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Percentual'!$AC$1</c:f>
              <c:strCache>
                <c:ptCount val="1"/>
                <c:pt idx="0">
                  <c:v>Modulação Contrato Firme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Percentual'!$AC$2:$AC$21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40</c:v>
                </c:pt>
                <c:pt idx="17">
                  <c:v>40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Flexível Percentual'!$AD$1</c:f>
              <c:strCache>
                <c:ptCount val="1"/>
                <c:pt idx="0">
                  <c:v>Modulação Preliminar do Contrato Flexível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Percentual'!$AD$2:$AD$21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918152"/>
        <c:axId val="656917368"/>
      </c:lineChart>
      <c:catAx>
        <c:axId val="656918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Horas</a:t>
                </a:r>
              </a:p>
            </c:rich>
          </c:tx>
          <c:layout>
            <c:manualLayout>
              <c:xMode val="edge"/>
              <c:yMode val="edge"/>
              <c:x val="0.61012906097282971"/>
              <c:y val="0.65927899344489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6917368"/>
        <c:crosses val="autoZero"/>
        <c:auto val="1"/>
        <c:lblAlgn val="ctr"/>
        <c:lblOffset val="100"/>
        <c:noMultiLvlLbl val="0"/>
      </c:catAx>
      <c:valAx>
        <c:axId val="6569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25833333333333336"/>
              <c:y val="0.32092228054826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6918152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Figura 11: Limites de Modulação do</a:t>
            </a:r>
            <a:r>
              <a:rPr lang="pt-BR" b="1" baseline="0">
                <a:solidFill>
                  <a:schemeClr val="tx1"/>
                </a:solidFill>
              </a:rPr>
              <a:t> Contrato Fleível</a:t>
            </a:r>
            <a:endParaRPr lang="pt-BR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5811178185054449"/>
          <c:y val="0.14674579624134521"/>
          <c:w val="0.63492188405444583"/>
          <c:h val="0.55144870986082228"/>
        </c:manualLayout>
      </c:layout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Percentual'!$AD$1</c:f>
              <c:strCache>
                <c:ptCount val="1"/>
                <c:pt idx="0">
                  <c:v>Modulação Preliminar do Contrato Flexível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Percentual'!$AD$2:$AD$21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Flexível Percentual'!$AE$1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Percentual'!$AE$2:$AE$21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Flexível Percentual'!$AF$1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Percentual'!$AF$2:$AF$21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918544"/>
        <c:axId val="332874048"/>
      </c:lineChart>
      <c:catAx>
        <c:axId val="65691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Horas</a:t>
                </a:r>
              </a:p>
            </c:rich>
          </c:tx>
          <c:layout>
            <c:manualLayout>
              <c:xMode val="edge"/>
              <c:yMode val="edge"/>
              <c:x val="0.59860188612070175"/>
              <c:y val="0.61936680763569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2874048"/>
        <c:crosses val="autoZero"/>
        <c:auto val="1"/>
        <c:lblAlgn val="ctr"/>
        <c:lblOffset val="100"/>
        <c:noMultiLvlLbl val="0"/>
      </c:catAx>
      <c:valAx>
        <c:axId val="33287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26498422712933756"/>
              <c:y val="0.3212237046036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6918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Figura 12: Modulação Ajustada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'Contrato Flexível Percentual'!$AB$1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Percentual'!$AB$2:$AB$21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65</c:v>
                </c:pt>
                <c:pt idx="11">
                  <c:v>60</c:v>
                </c:pt>
                <c:pt idx="12">
                  <c:v>55</c:v>
                </c:pt>
                <c:pt idx="13">
                  <c:v>60</c:v>
                </c:pt>
                <c:pt idx="14">
                  <c:v>60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30</c:v>
                </c:pt>
                <c:pt idx="1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'Contrato Flexível Percentual'!$AD$1</c:f>
              <c:strCache>
                <c:ptCount val="1"/>
                <c:pt idx="0">
                  <c:v>Modulação Preliminar do Contrato Flexível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Percentual'!$AD$2:$AD$21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'Contrato Flexível Percentual'!$AE$1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Percentual'!$AE$2:$AE$21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'Contrato Flexível Percentual'!$AF$1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Percentual'!$AF$2:$AF$21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'Contrato Flexível Percentual'!$AG$1</c:f>
              <c:strCache>
                <c:ptCount val="1"/>
                <c:pt idx="0">
                  <c:v>Modulação Ajustada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'Contrato Flexível Percentual'!$AA$2:$AA$21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'Contrato Flexível Percentual'!$AG$2:$AG$21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874440"/>
        <c:axId val="332873656"/>
      </c:lineChart>
      <c:catAx>
        <c:axId val="33287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Horas</a:t>
                </a:r>
              </a:p>
            </c:rich>
          </c:tx>
          <c:layout>
            <c:manualLayout>
              <c:xMode val="edge"/>
              <c:yMode val="edge"/>
              <c:x val="0.54307227415005033"/>
              <c:y val="0.66128621525941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2873656"/>
        <c:crosses val="autoZero"/>
        <c:auto val="1"/>
        <c:lblAlgn val="ctr"/>
        <c:lblOffset val="100"/>
        <c:noMultiLvlLbl val="0"/>
      </c:catAx>
      <c:valAx>
        <c:axId val="3328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14121962402567628"/>
              <c:y val="0.363143892426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2874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190501</xdr:colOff>
      <xdr:row>88</xdr:row>
      <xdr:rowOff>110727</xdr:rowOff>
    </xdr:from>
    <xdr:to>
      <xdr:col>29</xdr:col>
      <xdr:colOff>702468</xdr:colOff>
      <xdr:row>111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190499</xdr:colOff>
      <xdr:row>43</xdr:row>
      <xdr:rowOff>39291</xdr:rowOff>
    </xdr:from>
    <xdr:to>
      <xdr:col>29</xdr:col>
      <xdr:colOff>690562</xdr:colOff>
      <xdr:row>65</xdr:row>
      <xdr:rowOff>166687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154780</xdr:colOff>
      <xdr:row>43</xdr:row>
      <xdr:rowOff>39290</xdr:rowOff>
    </xdr:from>
    <xdr:to>
      <xdr:col>13</xdr:col>
      <xdr:colOff>59531</xdr:colOff>
      <xdr:row>65</xdr:row>
      <xdr:rowOff>142874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154780</xdr:colOff>
      <xdr:row>66</xdr:row>
      <xdr:rowOff>63103</xdr:rowOff>
    </xdr:from>
    <xdr:to>
      <xdr:col>13</xdr:col>
      <xdr:colOff>83343</xdr:colOff>
      <xdr:row>88</xdr:row>
      <xdr:rowOff>11906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190500</xdr:colOff>
      <xdr:row>66</xdr:row>
      <xdr:rowOff>63103</xdr:rowOff>
    </xdr:from>
    <xdr:to>
      <xdr:col>29</xdr:col>
      <xdr:colOff>678656</xdr:colOff>
      <xdr:row>88</xdr:row>
      <xdr:rowOff>23812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154780</xdr:colOff>
      <xdr:row>88</xdr:row>
      <xdr:rowOff>110727</xdr:rowOff>
    </xdr:from>
    <xdr:to>
      <xdr:col>13</xdr:col>
      <xdr:colOff>83343</xdr:colOff>
      <xdr:row>111</xdr:row>
      <xdr:rowOff>23812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13306</xdr:rowOff>
    </xdr:from>
    <xdr:to>
      <xdr:col>3</xdr:col>
      <xdr:colOff>100853</xdr:colOff>
      <xdr:row>9</xdr:row>
      <xdr:rowOff>41862</xdr:rowOff>
    </xdr:to>
    <xdr:pic>
      <xdr:nvPicPr>
        <xdr:cNvPr id="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3306"/>
          <a:ext cx="1310528" cy="17716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476249</xdr:colOff>
      <xdr:row>24</xdr:row>
      <xdr:rowOff>109537</xdr:rowOff>
    </xdr:from>
    <xdr:to>
      <xdr:col>20</xdr:col>
      <xdr:colOff>200025</xdr:colOff>
      <xdr:row>37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44</xdr:row>
      <xdr:rowOff>57150</xdr:rowOff>
    </xdr:from>
    <xdr:to>
      <xdr:col>15</xdr:col>
      <xdr:colOff>76200</xdr:colOff>
      <xdr:row>62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200025</xdr:colOff>
      <xdr:row>45</xdr:row>
      <xdr:rowOff>119062</xdr:rowOff>
    </xdr:from>
    <xdr:to>
      <xdr:col>32</xdr:col>
      <xdr:colOff>314325</xdr:colOff>
      <xdr:row>68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342900</xdr:colOff>
      <xdr:row>26</xdr:row>
      <xdr:rowOff>61912</xdr:rowOff>
    </xdr:from>
    <xdr:to>
      <xdr:col>39</xdr:col>
      <xdr:colOff>228600</xdr:colOff>
      <xdr:row>40</xdr:row>
      <xdr:rowOff>138112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1219200</xdr:colOff>
      <xdr:row>50</xdr:row>
      <xdr:rowOff>80962</xdr:rowOff>
    </xdr:from>
    <xdr:to>
      <xdr:col>44</xdr:col>
      <xdr:colOff>271462</xdr:colOff>
      <xdr:row>64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24</xdr:row>
      <xdr:rowOff>109537</xdr:rowOff>
    </xdr:from>
    <xdr:to>
      <xdr:col>16</xdr:col>
      <xdr:colOff>200025</xdr:colOff>
      <xdr:row>37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44</xdr:row>
      <xdr:rowOff>57150</xdr:rowOff>
    </xdr:from>
    <xdr:to>
      <xdr:col>13</xdr:col>
      <xdr:colOff>657225</xdr:colOff>
      <xdr:row>62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45</xdr:row>
      <xdr:rowOff>80962</xdr:rowOff>
    </xdr:from>
    <xdr:to>
      <xdr:col>28</xdr:col>
      <xdr:colOff>1085850</xdr:colOff>
      <xdr:row>68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342900</xdr:colOff>
      <xdr:row>26</xdr:row>
      <xdr:rowOff>61912</xdr:rowOff>
    </xdr:from>
    <xdr:to>
      <xdr:col>35</xdr:col>
      <xdr:colOff>228600</xdr:colOff>
      <xdr:row>40</xdr:row>
      <xdr:rowOff>138112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1219200</xdr:colOff>
      <xdr:row>50</xdr:row>
      <xdr:rowOff>80962</xdr:rowOff>
    </xdr:from>
    <xdr:to>
      <xdr:col>40</xdr:col>
      <xdr:colOff>271462</xdr:colOff>
      <xdr:row>64</xdr:row>
      <xdr:rowOff>157162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ee.org.br/cs/idcplg?IdcService=GET_FILE&amp;dID=134467&amp;dDocName=CCEE_127254&amp;allowInterrupt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3"/>
  <sheetViews>
    <sheetView showGridLines="0" tabSelected="1" zoomScale="80" zoomScaleNormal="80" workbookViewId="0">
      <selection activeCell="D1" sqref="D1:AB1"/>
    </sheetView>
  </sheetViews>
  <sheetFormatPr defaultRowHeight="12.75" x14ac:dyDescent="0.2"/>
  <cols>
    <col min="1" max="1" width="2.5703125" style="6" customWidth="1"/>
    <col min="2" max="2" width="7" style="6" customWidth="1"/>
    <col min="3" max="3" width="9.140625" style="6"/>
    <col min="4" max="4" width="6" style="6" customWidth="1"/>
    <col min="5" max="5" width="4.28515625" style="6" customWidth="1"/>
    <col min="6" max="6" width="39.42578125" style="6" customWidth="1"/>
    <col min="7" max="7" width="9.140625" style="6"/>
    <col min="8" max="8" width="13.5703125" style="6" customWidth="1"/>
    <col min="9" max="11" width="7.140625" style="6" customWidth="1"/>
    <col min="12" max="12" width="7.140625" style="7" customWidth="1"/>
    <col min="13" max="28" width="7.140625" style="6" customWidth="1"/>
    <col min="29" max="29" width="15.5703125" style="6" bestFit="1" customWidth="1"/>
    <col min="30" max="30" width="20" style="6" customWidth="1"/>
    <col min="31" max="31" width="15" style="6" customWidth="1"/>
    <col min="32" max="16384" width="9.140625" style="6"/>
  </cols>
  <sheetData>
    <row r="1" spans="2:31" s="64" customFormat="1" ht="21.75" customHeight="1" x14ac:dyDescent="0.2">
      <c r="D1" s="113" t="s">
        <v>78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2:31" s="64" customFormat="1" x14ac:dyDescent="0.2">
      <c r="D2" s="65"/>
      <c r="E2" s="66" t="s">
        <v>79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2:31" s="64" customFormat="1" x14ac:dyDescent="0.2">
      <c r="E3" s="111" t="s">
        <v>80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spans="2:31" s="64" customFormat="1" x14ac:dyDescent="0.2">
      <c r="E4" s="111" t="s">
        <v>67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spans="2:31" s="64" customFormat="1" x14ac:dyDescent="0.2">
      <c r="E5" s="111" t="s">
        <v>81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</row>
    <row r="6" spans="2:31" s="64" customFormat="1" x14ac:dyDescent="0.2">
      <c r="E6" s="111" t="s">
        <v>89</v>
      </c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2:31" s="64" customFormat="1" x14ac:dyDescent="0.2">
      <c r="E7" s="111" t="s">
        <v>82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</row>
    <row r="8" spans="2:31" s="64" customFormat="1" x14ac:dyDescent="0.2">
      <c r="E8" s="111" t="s">
        <v>83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</row>
    <row r="9" spans="2:31" s="64" customFormat="1" ht="15" x14ac:dyDescent="0.25">
      <c r="E9" s="111" t="s">
        <v>84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2" t="s">
        <v>85</v>
      </c>
      <c r="V9" s="112"/>
      <c r="W9" s="112"/>
      <c r="AB9" s="68"/>
      <c r="AC9" s="68"/>
      <c r="AD9" s="68"/>
      <c r="AE9" s="68"/>
    </row>
    <row r="10" spans="2:31" s="7" customFormat="1" ht="13.5" thickBot="1" x14ac:dyDescent="0.25">
      <c r="E10" s="58"/>
    </row>
    <row r="11" spans="2:31" ht="15" customHeight="1" thickBot="1" x14ac:dyDescent="0.25">
      <c r="B11" s="115" t="s">
        <v>49</v>
      </c>
      <c r="C11" s="115"/>
      <c r="D11" s="115"/>
      <c r="F11" s="104" t="s">
        <v>32</v>
      </c>
      <c r="G11" s="105"/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7"/>
    </row>
    <row r="12" spans="2:31" ht="15" customHeight="1" x14ac:dyDescent="0.2">
      <c r="B12" s="42" t="s">
        <v>48</v>
      </c>
      <c r="C12" s="116" t="s">
        <v>14</v>
      </c>
      <c r="D12" s="116"/>
      <c r="E12" s="43"/>
      <c r="F12" s="27" t="s">
        <v>33</v>
      </c>
      <c r="G12" s="46">
        <v>20</v>
      </c>
      <c r="H12" s="34" t="s">
        <v>34</v>
      </c>
      <c r="I12" s="108" t="s">
        <v>51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10"/>
    </row>
    <row r="13" spans="2:31" x14ac:dyDescent="0.2">
      <c r="B13" s="35">
        <v>1</v>
      </c>
      <c r="C13" s="44">
        <v>5</v>
      </c>
      <c r="D13" s="23" t="s">
        <v>47</v>
      </c>
      <c r="F13" s="27" t="s">
        <v>37</v>
      </c>
      <c r="G13" s="47" t="s">
        <v>50</v>
      </c>
      <c r="H13" s="31"/>
      <c r="I13" s="76">
        <v>1</v>
      </c>
      <c r="J13" s="77">
        <v>2</v>
      </c>
      <c r="K13" s="77">
        <v>3</v>
      </c>
      <c r="L13" s="77">
        <v>4</v>
      </c>
      <c r="M13" s="77">
        <v>5</v>
      </c>
      <c r="N13" s="77">
        <v>6</v>
      </c>
      <c r="O13" s="77">
        <v>7</v>
      </c>
      <c r="P13" s="77">
        <v>8</v>
      </c>
      <c r="Q13" s="77">
        <v>9</v>
      </c>
      <c r="R13" s="77">
        <v>10</v>
      </c>
      <c r="S13" s="77">
        <v>11</v>
      </c>
      <c r="T13" s="77">
        <v>12</v>
      </c>
      <c r="U13" s="77">
        <v>13</v>
      </c>
      <c r="V13" s="77">
        <v>14</v>
      </c>
      <c r="W13" s="77">
        <v>15</v>
      </c>
      <c r="X13" s="77">
        <v>16</v>
      </c>
      <c r="Y13" s="77">
        <v>17</v>
      </c>
      <c r="Z13" s="77">
        <v>18</v>
      </c>
      <c r="AA13" s="77">
        <v>19</v>
      </c>
      <c r="AB13" s="78">
        <v>20</v>
      </c>
      <c r="AC13" s="77" t="s">
        <v>87</v>
      </c>
      <c r="AD13" s="79" t="s">
        <v>88</v>
      </c>
    </row>
    <row r="14" spans="2:31" x14ac:dyDescent="0.2">
      <c r="B14" s="36">
        <v>2</v>
      </c>
      <c r="C14" s="45">
        <v>5</v>
      </c>
      <c r="D14" s="24" t="s">
        <v>47</v>
      </c>
      <c r="F14" s="27" t="s">
        <v>36</v>
      </c>
      <c r="G14" s="47">
        <v>2</v>
      </c>
      <c r="H14" s="31" t="s">
        <v>34</v>
      </c>
      <c r="I14" s="80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83">
        <f>SUM(I14:AB14)</f>
        <v>0</v>
      </c>
      <c r="AD14" s="84">
        <f>AC14/20</f>
        <v>0</v>
      </c>
    </row>
    <row r="15" spans="2:31" ht="13.5" customHeight="1" thickBot="1" x14ac:dyDescent="0.25">
      <c r="B15" s="36">
        <v>3</v>
      </c>
      <c r="C15" s="44">
        <v>15</v>
      </c>
      <c r="D15" s="24" t="s">
        <v>47</v>
      </c>
      <c r="F15" s="27" t="s">
        <v>35</v>
      </c>
      <c r="G15" s="48">
        <v>50</v>
      </c>
      <c r="H15" s="31" t="s">
        <v>34</v>
      </c>
      <c r="I15" s="108" t="s">
        <v>52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10"/>
    </row>
    <row r="16" spans="2:31" x14ac:dyDescent="0.2">
      <c r="B16" s="36">
        <v>4</v>
      </c>
      <c r="C16" s="45">
        <v>15</v>
      </c>
      <c r="D16" s="24" t="s">
        <v>47</v>
      </c>
      <c r="F16" s="28"/>
      <c r="G16" s="30"/>
      <c r="H16" s="31"/>
      <c r="I16" s="76">
        <v>1</v>
      </c>
      <c r="J16" s="77">
        <v>2</v>
      </c>
      <c r="K16" s="77">
        <v>3</v>
      </c>
      <c r="L16" s="77">
        <v>4</v>
      </c>
      <c r="M16" s="77">
        <v>5</v>
      </c>
      <c r="N16" s="77">
        <v>6</v>
      </c>
      <c r="O16" s="77">
        <v>7</v>
      </c>
      <c r="P16" s="77">
        <v>8</v>
      </c>
      <c r="Q16" s="77">
        <v>9</v>
      </c>
      <c r="R16" s="77">
        <v>10</v>
      </c>
      <c r="S16" s="77">
        <v>11</v>
      </c>
      <c r="T16" s="77">
        <v>12</v>
      </c>
      <c r="U16" s="77">
        <v>13</v>
      </c>
      <c r="V16" s="77">
        <v>14</v>
      </c>
      <c r="W16" s="77">
        <v>15</v>
      </c>
      <c r="X16" s="77">
        <v>16</v>
      </c>
      <c r="Y16" s="77">
        <v>17</v>
      </c>
      <c r="Z16" s="77">
        <v>18</v>
      </c>
      <c r="AA16" s="77">
        <v>19</v>
      </c>
      <c r="AB16" s="78">
        <v>20</v>
      </c>
      <c r="AC16" s="77" t="s">
        <v>87</v>
      </c>
      <c r="AD16" s="79" t="s">
        <v>88</v>
      </c>
    </row>
    <row r="17" spans="2:30" ht="13.5" thickBot="1" x14ac:dyDescent="0.25">
      <c r="B17" s="36">
        <v>5</v>
      </c>
      <c r="C17" s="44">
        <v>35</v>
      </c>
      <c r="D17" s="24" t="s">
        <v>47</v>
      </c>
      <c r="F17" s="29"/>
      <c r="G17" s="32"/>
      <c r="H17" s="33"/>
      <c r="I17" s="18">
        <f>INDEX('Contrato Firme'!$N$2:$N$21,MATCH('Tela de entrada'!I16,'Contrato Firme'!$D$2:$D$21,0),1)</f>
        <v>2.5</v>
      </c>
      <c r="J17" s="18">
        <f>INDEX('Contrato Firme'!$N$2:$N$21,MATCH('Tela de entrada'!J16,'Contrato Firme'!$D$2:$D$21,0),1)</f>
        <v>2.5</v>
      </c>
      <c r="K17" s="18">
        <f>INDEX('Contrato Firme'!$N$2:$N$21,MATCH('Tela de entrada'!K16,'Contrato Firme'!$D$2:$D$21,0),1)</f>
        <v>7.5</v>
      </c>
      <c r="L17" s="18">
        <f>INDEX('Contrato Firme'!$N$2:$N$21,MATCH('Tela de entrada'!L16,'Contrato Firme'!$D$2:$D$21,0),1)</f>
        <v>7.5</v>
      </c>
      <c r="M17" s="18">
        <f>INDEX('Contrato Firme'!$N$2:$N$21,MATCH('Tela de entrada'!M16,'Contrato Firme'!$D$2:$D$21,0),1)</f>
        <v>17.5</v>
      </c>
      <c r="N17" s="18">
        <f>INDEX('Contrato Firme'!$N$2:$N$21,MATCH('Tela de entrada'!N16,'Contrato Firme'!$D$2:$D$21,0),1)</f>
        <v>17.5</v>
      </c>
      <c r="O17" s="18">
        <f>INDEX('Contrato Firme'!$N$2:$N$21,MATCH('Tela de entrada'!O16,'Contrato Firme'!$D$2:$D$21,0),1)</f>
        <v>20</v>
      </c>
      <c r="P17" s="18">
        <f>INDEX('Contrato Firme'!$N$2:$N$21,MATCH('Tela de entrada'!P16,'Contrato Firme'!$D$2:$D$21,0),1)</f>
        <v>25</v>
      </c>
      <c r="Q17" s="18">
        <f>INDEX('Contrato Firme'!$N$2:$N$21,MATCH('Tela de entrada'!Q16,'Contrato Firme'!$D$2:$D$21,0),1)</f>
        <v>25</v>
      </c>
      <c r="R17" s="18">
        <f>INDEX('Contrato Firme'!$N$2:$N$21,MATCH('Tela de entrada'!R16,'Contrato Firme'!$D$2:$D$21,0),1)</f>
        <v>30</v>
      </c>
      <c r="S17" s="18">
        <f>INDEX('Contrato Firme'!$N$2:$N$21,MATCH('Tela de entrada'!S16,'Contrato Firme'!$D$2:$D$21,0),1)</f>
        <v>32.5</v>
      </c>
      <c r="T17" s="18">
        <f>INDEX('Contrato Firme'!$N$2:$N$21,MATCH('Tela de entrada'!T16,'Contrato Firme'!$D$2:$D$21,0),1)</f>
        <v>30</v>
      </c>
      <c r="U17" s="18">
        <f>INDEX('Contrato Firme'!$N$2:$N$21,MATCH('Tela de entrada'!U16,'Contrato Firme'!$D$2:$D$21,0),1)</f>
        <v>27.500000000000004</v>
      </c>
      <c r="V17" s="18">
        <f>INDEX('Contrato Firme'!$N$2:$N$21,MATCH('Tela de entrada'!V16,'Contrato Firme'!$D$2:$D$21,0),1)</f>
        <v>30</v>
      </c>
      <c r="W17" s="18">
        <f>INDEX('Contrato Firme'!$N$2:$N$21,MATCH('Tela de entrada'!W16,'Contrato Firme'!$D$2:$D$21,0),1)</f>
        <v>30</v>
      </c>
      <c r="X17" s="18">
        <f>INDEX('Contrato Firme'!$N$2:$N$21,MATCH('Tela de entrada'!X16,'Contrato Firme'!$D$2:$D$21,0),1)</f>
        <v>25</v>
      </c>
      <c r="Y17" s="18">
        <f>INDEX('Contrato Firme'!$N$2:$N$21,MATCH('Tela de entrada'!Y16,'Contrato Firme'!$D$2:$D$21,0),1)</f>
        <v>22.5</v>
      </c>
      <c r="Z17" s="18">
        <f>INDEX('Contrato Firme'!$N$2:$N$21,MATCH('Tela de entrada'!Z16,'Contrato Firme'!$D$2:$D$21,0),1)</f>
        <v>20</v>
      </c>
      <c r="AA17" s="18">
        <f>INDEX('Contrato Firme'!$N$2:$N$21,MATCH('Tela de entrada'!AA16,'Contrato Firme'!$D$2:$D$21,0),1)</f>
        <v>15</v>
      </c>
      <c r="AB17" s="59">
        <f>INDEX('Contrato Firme'!$N$2:$N$21,MATCH('Tela de entrada'!AB16,'Contrato Firme'!$D$2:$D$21,0),1)</f>
        <v>12.5</v>
      </c>
      <c r="AC17" s="71">
        <f>SUM(I17:AB17)</f>
        <v>400</v>
      </c>
      <c r="AD17" s="72">
        <f>AC17/20</f>
        <v>20</v>
      </c>
    </row>
    <row r="18" spans="2:30" ht="13.5" thickBot="1" x14ac:dyDescent="0.25">
      <c r="B18" s="36">
        <v>6</v>
      </c>
      <c r="C18" s="45">
        <v>35</v>
      </c>
      <c r="D18" s="24" t="s">
        <v>47</v>
      </c>
      <c r="I18" s="7"/>
      <c r="J18" s="7"/>
      <c r="K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2:30" ht="15" customHeight="1" x14ac:dyDescent="0.2">
      <c r="B19" s="36">
        <v>7</v>
      </c>
      <c r="C19" s="44">
        <v>40</v>
      </c>
      <c r="D19" s="24" t="s">
        <v>47</v>
      </c>
      <c r="F19" s="117" t="s">
        <v>26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7"/>
    </row>
    <row r="20" spans="2:30" ht="15" customHeight="1" x14ac:dyDescent="0.2">
      <c r="B20" s="36">
        <v>8</v>
      </c>
      <c r="C20" s="45">
        <v>50</v>
      </c>
      <c r="D20" s="24" t="s">
        <v>47</v>
      </c>
      <c r="F20" s="38" t="s">
        <v>29</v>
      </c>
      <c r="G20" s="49">
        <v>5</v>
      </c>
      <c r="H20" s="39" t="s">
        <v>34</v>
      </c>
      <c r="I20" s="108" t="s">
        <v>52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10"/>
    </row>
    <row r="21" spans="2:30" ht="12.75" customHeight="1" x14ac:dyDescent="0.2">
      <c r="B21" s="36">
        <v>9</v>
      </c>
      <c r="C21" s="44">
        <v>50</v>
      </c>
      <c r="D21" s="24" t="s">
        <v>47</v>
      </c>
      <c r="F21" s="28" t="s">
        <v>30</v>
      </c>
      <c r="G21" s="50">
        <v>50</v>
      </c>
      <c r="H21" s="40" t="s">
        <v>34</v>
      </c>
      <c r="I21" s="76">
        <v>1</v>
      </c>
      <c r="J21" s="77">
        <v>2</v>
      </c>
      <c r="K21" s="77">
        <v>3</v>
      </c>
      <c r="L21" s="77">
        <v>4</v>
      </c>
      <c r="M21" s="77">
        <v>5</v>
      </c>
      <c r="N21" s="77">
        <v>6</v>
      </c>
      <c r="O21" s="77">
        <v>7</v>
      </c>
      <c r="P21" s="77">
        <v>8</v>
      </c>
      <c r="Q21" s="77">
        <v>9</v>
      </c>
      <c r="R21" s="77">
        <v>10</v>
      </c>
      <c r="S21" s="77">
        <v>11</v>
      </c>
      <c r="T21" s="77">
        <v>12</v>
      </c>
      <c r="U21" s="77">
        <v>13</v>
      </c>
      <c r="V21" s="77">
        <v>14</v>
      </c>
      <c r="W21" s="77">
        <v>15</v>
      </c>
      <c r="X21" s="77">
        <v>16</v>
      </c>
      <c r="Y21" s="77">
        <v>17</v>
      </c>
      <c r="Z21" s="77">
        <v>18</v>
      </c>
      <c r="AA21" s="77">
        <v>19</v>
      </c>
      <c r="AB21" s="78">
        <v>20</v>
      </c>
      <c r="AC21" s="77" t="s">
        <v>87</v>
      </c>
      <c r="AD21" s="79" t="s">
        <v>88</v>
      </c>
    </row>
    <row r="22" spans="2:30" x14ac:dyDescent="0.2">
      <c r="B22" s="36">
        <v>10</v>
      </c>
      <c r="C22" s="45">
        <v>60</v>
      </c>
      <c r="D22" s="24" t="s">
        <v>47</v>
      </c>
      <c r="F22" s="28" t="s">
        <v>37</v>
      </c>
      <c r="G22" s="50" t="s">
        <v>50</v>
      </c>
      <c r="H22" s="40"/>
      <c r="I22" s="19">
        <f>INDEX('Contrato Flexível Percentual'!$R$2:$R$21,MATCH('Tela de entrada'!I21,'Contrato Flexível Percentual'!$D$2:$D$21,0),1)</f>
        <v>1</v>
      </c>
      <c r="J22" s="19">
        <f>INDEX('Contrato Flexível Percentual'!$R$2:$R$21,MATCH('Tela de entrada'!J21,'Contrato Flexível Percentual'!$D$2:$D$21,0),1)</f>
        <v>1</v>
      </c>
      <c r="K22" s="19">
        <f>INDEX('Contrato Flexível Percentual'!$R$2:$R$21,MATCH('Tela de entrada'!K21,'Contrato Flexível Percentual'!$D$2:$D$21,0),1)</f>
        <v>3</v>
      </c>
      <c r="L22" s="19">
        <f>INDEX('Contrato Flexível Percentual'!$R$2:$R$21,MATCH('Tela de entrada'!L21,'Contrato Flexível Percentual'!$D$2:$D$21,0),1)</f>
        <v>3</v>
      </c>
      <c r="M22" s="19">
        <f>INDEX('Contrato Flexível Percentual'!$R$2:$R$21,MATCH('Tela de entrada'!M21,'Contrato Flexível Percentual'!$D$2:$D$21,0),1)</f>
        <v>7</v>
      </c>
      <c r="N22" s="19">
        <f>INDEX('Contrato Flexível Percentual'!$R$2:$R$21,MATCH('Tela de entrada'!N21,'Contrato Flexível Percentual'!$D$2:$D$21,0),1)</f>
        <v>7</v>
      </c>
      <c r="O22" s="19">
        <f>INDEX('Contrato Flexível Percentual'!$R$2:$R$21,MATCH('Tela de entrada'!O21,'Contrato Flexível Percentual'!$D$2:$D$21,0),1)</f>
        <v>8</v>
      </c>
      <c r="P22" s="19">
        <f>INDEX('Contrato Flexível Percentual'!$R$2:$R$21,MATCH('Tela de entrada'!P21,'Contrato Flexível Percentual'!$D$2:$D$21,0),1)</f>
        <v>10</v>
      </c>
      <c r="Q22" s="19">
        <f>INDEX('Contrato Flexível Percentual'!$R$2:$R$21,MATCH('Tela de entrada'!Q21,'Contrato Flexível Percentual'!$D$2:$D$21,0),1)</f>
        <v>10</v>
      </c>
      <c r="R22" s="19">
        <f>INDEX('Contrato Flexível Percentual'!$R$2:$R$21,MATCH('Tela de entrada'!R21,'Contrato Flexível Percentual'!$D$2:$D$21,0),1)</f>
        <v>12</v>
      </c>
      <c r="S22" s="19">
        <f>INDEX('Contrato Flexível Percentual'!$R$2:$R$21,MATCH('Tela de entrada'!S21,'Contrato Flexível Percentual'!$D$2:$D$21,0),1)</f>
        <v>13</v>
      </c>
      <c r="T22" s="19">
        <f>INDEX('Contrato Flexível Percentual'!$R$2:$R$21,MATCH('Tela de entrada'!T21,'Contrato Flexível Percentual'!$D$2:$D$21,0),1)</f>
        <v>12</v>
      </c>
      <c r="U22" s="19">
        <f>INDEX('Contrato Flexível Percentual'!$R$2:$R$21,MATCH('Tela de entrada'!U21,'Contrato Flexível Percentual'!$D$2:$D$21,0),1)</f>
        <v>11</v>
      </c>
      <c r="V22" s="19">
        <f>INDEX('Contrato Flexível Percentual'!$R$2:$R$21,MATCH('Tela de entrada'!V21,'Contrato Flexível Percentual'!$D$2:$D$21,0),1)</f>
        <v>12</v>
      </c>
      <c r="W22" s="19">
        <f>INDEX('Contrato Flexível Percentual'!$R$2:$R$21,MATCH('Tela de entrada'!W21,'Contrato Flexível Percentual'!$D$2:$D$21,0),1)</f>
        <v>12</v>
      </c>
      <c r="X22" s="19">
        <f>INDEX('Contrato Flexível Percentual'!$R$2:$R$21,MATCH('Tela de entrada'!X21,'Contrato Flexível Percentual'!$D$2:$D$21,0),1)</f>
        <v>10</v>
      </c>
      <c r="Y22" s="19">
        <f>INDEX('Contrato Flexível Percentual'!$R$2:$R$21,MATCH('Tela de entrada'!Y21,'Contrato Flexível Percentual'!$D$2:$D$21,0),1)</f>
        <v>9</v>
      </c>
      <c r="Z22" s="19">
        <f>INDEX('Contrato Flexível Percentual'!$R$2:$R$21,MATCH('Tela de entrada'!Z21,'Contrato Flexível Percentual'!$D$2:$D$21,0),1)</f>
        <v>8</v>
      </c>
      <c r="AA22" s="19">
        <f>INDEX('Contrato Flexível Percentual'!$R$2:$R$21,MATCH('Tela de entrada'!AA21,'Contrato Flexível Percentual'!$D$2:$D$21,0),1)</f>
        <v>6</v>
      </c>
      <c r="AB22" s="61">
        <f>INDEX('Contrato Flexível Percentual'!$R$2:$R$21,MATCH('Tela de entrada'!AB21,'Contrato Flexível Percentual'!$D$2:$D$21,0),1)</f>
        <v>5</v>
      </c>
      <c r="AC22" s="73">
        <f>SUM(I22:AB22)</f>
        <v>160</v>
      </c>
      <c r="AD22" s="63">
        <f>AC22/20</f>
        <v>8</v>
      </c>
    </row>
    <row r="23" spans="2:30" x14ac:dyDescent="0.2">
      <c r="B23" s="36">
        <v>11</v>
      </c>
      <c r="C23" s="44">
        <v>65</v>
      </c>
      <c r="D23" s="24" t="s">
        <v>47</v>
      </c>
      <c r="F23" s="28" t="s">
        <v>38</v>
      </c>
      <c r="G23" s="50">
        <v>0</v>
      </c>
      <c r="H23" s="40" t="s">
        <v>34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22"/>
    </row>
    <row r="24" spans="2:30" x14ac:dyDescent="0.2">
      <c r="B24" s="36">
        <v>12</v>
      </c>
      <c r="C24" s="45">
        <v>60</v>
      </c>
      <c r="D24" s="24" t="s">
        <v>47</v>
      </c>
      <c r="F24" s="28" t="s">
        <v>39</v>
      </c>
      <c r="G24" s="50">
        <v>50</v>
      </c>
      <c r="H24" s="40" t="s">
        <v>34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22"/>
    </row>
    <row r="25" spans="2:30" ht="13.5" thickBot="1" x14ac:dyDescent="0.25">
      <c r="B25" s="36">
        <v>13</v>
      </c>
      <c r="C25" s="44">
        <v>55</v>
      </c>
      <c r="D25" s="24" t="s">
        <v>47</v>
      </c>
      <c r="F25" s="29" t="s">
        <v>40</v>
      </c>
      <c r="G25" s="51">
        <v>0.2</v>
      </c>
      <c r="H25" s="41" t="s">
        <v>42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21"/>
    </row>
    <row r="26" spans="2:30" ht="13.5" thickBot="1" x14ac:dyDescent="0.25">
      <c r="B26" s="36">
        <v>14</v>
      </c>
      <c r="C26" s="45">
        <v>60</v>
      </c>
      <c r="D26" s="24" t="s">
        <v>47</v>
      </c>
      <c r="L26" s="6"/>
    </row>
    <row r="27" spans="2:30" ht="15" customHeight="1" x14ac:dyDescent="0.2">
      <c r="B27" s="36">
        <v>15</v>
      </c>
      <c r="C27" s="44">
        <v>60</v>
      </c>
      <c r="D27" s="24" t="s">
        <v>47</v>
      </c>
      <c r="F27" s="117" t="s">
        <v>25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7"/>
    </row>
    <row r="28" spans="2:30" ht="12.75" customHeight="1" thickBot="1" x14ac:dyDescent="0.25">
      <c r="B28" s="36">
        <v>16</v>
      </c>
      <c r="C28" s="45">
        <v>50</v>
      </c>
      <c r="D28" s="24" t="s">
        <v>47</v>
      </c>
      <c r="F28" s="120" t="s">
        <v>27</v>
      </c>
      <c r="G28" s="69"/>
      <c r="H28" s="70"/>
      <c r="I28" s="108" t="s">
        <v>52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10"/>
    </row>
    <row r="29" spans="2:30" x14ac:dyDescent="0.2">
      <c r="B29" s="36">
        <v>17</v>
      </c>
      <c r="C29" s="44">
        <v>45</v>
      </c>
      <c r="D29" s="24" t="s">
        <v>47</v>
      </c>
      <c r="F29" s="121" t="s">
        <v>29</v>
      </c>
      <c r="G29" s="55">
        <v>1</v>
      </c>
      <c r="H29" s="31" t="s">
        <v>34</v>
      </c>
      <c r="I29" s="76">
        <v>1</v>
      </c>
      <c r="J29" s="77">
        <v>2</v>
      </c>
      <c r="K29" s="77">
        <v>3</v>
      </c>
      <c r="L29" s="77">
        <v>4</v>
      </c>
      <c r="M29" s="77">
        <v>5</v>
      </c>
      <c r="N29" s="77">
        <v>6</v>
      </c>
      <c r="O29" s="77">
        <v>7</v>
      </c>
      <c r="P29" s="77">
        <v>8</v>
      </c>
      <c r="Q29" s="77">
        <v>9</v>
      </c>
      <c r="R29" s="77">
        <v>10</v>
      </c>
      <c r="S29" s="77">
        <v>11</v>
      </c>
      <c r="T29" s="77">
        <v>12</v>
      </c>
      <c r="U29" s="77">
        <v>13</v>
      </c>
      <c r="V29" s="77">
        <v>14</v>
      </c>
      <c r="W29" s="77">
        <v>15</v>
      </c>
      <c r="X29" s="77">
        <v>16</v>
      </c>
      <c r="Y29" s="77">
        <v>17</v>
      </c>
      <c r="Z29" s="77">
        <v>18</v>
      </c>
      <c r="AA29" s="77">
        <v>19</v>
      </c>
      <c r="AB29" s="78">
        <v>20</v>
      </c>
      <c r="AC29" s="77" t="s">
        <v>87</v>
      </c>
      <c r="AD29" s="79" t="s">
        <v>88</v>
      </c>
    </row>
    <row r="30" spans="2:30" ht="13.5" thickBot="1" x14ac:dyDescent="0.25">
      <c r="B30" s="36">
        <v>18</v>
      </c>
      <c r="C30" s="45">
        <v>40</v>
      </c>
      <c r="D30" s="24" t="s">
        <v>47</v>
      </c>
      <c r="F30" s="56" t="s">
        <v>30</v>
      </c>
      <c r="G30" s="57">
        <v>10</v>
      </c>
      <c r="H30" s="31" t="s">
        <v>34</v>
      </c>
      <c r="I30" s="19">
        <f>INDEX('Contrato Flexível Prioridade'!$Q$2:$Q$41,MATCH(CONCATENATE($F$28,'Tela de entrada'!I29),'Contrato Flexível Prioridade'!$B$2:$B$41,0),1)</f>
        <v>1.5</v>
      </c>
      <c r="J30" s="19">
        <f>INDEX('Contrato Flexível Prioridade'!$Q$2:$Q$41,MATCH(CONCATENATE($F$28,'Tela de entrada'!J29),'Contrato Flexível Prioridade'!$B$2:$B$41,0),1)</f>
        <v>1.5</v>
      </c>
      <c r="K30" s="19">
        <f>INDEX('Contrato Flexível Prioridade'!$Q$2:$Q$41,MATCH(CONCATENATE($F$28,'Tela de entrada'!K29),'Contrato Flexível Prioridade'!$B$2:$B$41,0),1)</f>
        <v>4.5</v>
      </c>
      <c r="L30" s="19">
        <f>INDEX('Contrato Flexível Prioridade'!$Q$2:$Q$41,MATCH(CONCATENATE($F$28,'Tela de entrada'!L29),'Contrato Flexível Prioridade'!$B$2:$B$41,0),1)</f>
        <v>4.5</v>
      </c>
      <c r="M30" s="19">
        <f>INDEX('Contrato Flexível Prioridade'!$Q$2:$Q$41,MATCH(CONCATENATE($F$28,'Tela de entrada'!M29),'Contrato Flexível Prioridade'!$B$2:$B$41,0),1)</f>
        <v>10</v>
      </c>
      <c r="N30" s="19">
        <f>INDEX('Contrato Flexível Prioridade'!$Q$2:$Q$41,MATCH(CONCATENATE($F$28,'Tela de entrada'!N29),'Contrato Flexível Prioridade'!$B$2:$B$41,0),1)</f>
        <v>10</v>
      </c>
      <c r="O30" s="19">
        <f>INDEX('Contrato Flexível Prioridade'!$Q$2:$Q$41,MATCH(CONCATENATE($F$28,'Tela de entrada'!O29),'Contrato Flexível Prioridade'!$B$2:$B$41,0),1)</f>
        <v>10</v>
      </c>
      <c r="P30" s="19">
        <f>INDEX('Contrato Flexível Prioridade'!$Q$2:$Q$41,MATCH(CONCATENATE($F$28,'Tela de entrada'!P29),'Contrato Flexível Prioridade'!$B$2:$B$41,0),1)</f>
        <v>10</v>
      </c>
      <c r="Q30" s="19">
        <f>INDEX('Contrato Flexível Prioridade'!$Q$2:$Q$41,MATCH(CONCATENATE($F$28,'Tela de entrada'!Q29),'Contrato Flexível Prioridade'!$B$2:$B$41,0),1)</f>
        <v>10</v>
      </c>
      <c r="R30" s="19">
        <f>INDEX('Contrato Flexível Prioridade'!$Q$2:$Q$41,MATCH(CONCATENATE($F$28,'Tela de entrada'!R29),'Contrato Flexível Prioridade'!$B$2:$B$41,0),1)</f>
        <v>10</v>
      </c>
      <c r="S30" s="19">
        <f>INDEX('Contrato Flexível Prioridade'!$Q$2:$Q$41,MATCH(CONCATENATE($F$28,'Tela de entrada'!S29),'Contrato Flexível Prioridade'!$B$2:$B$41,0),1)</f>
        <v>10</v>
      </c>
      <c r="T30" s="19">
        <f>INDEX('Contrato Flexível Prioridade'!$Q$2:$Q$41,MATCH(CONCATENATE($F$28,'Tela de entrada'!T29),'Contrato Flexível Prioridade'!$B$2:$B$41,0),1)</f>
        <v>10</v>
      </c>
      <c r="U30" s="19">
        <f>INDEX('Contrato Flexível Prioridade'!$Q$2:$Q$41,MATCH(CONCATENATE($F$28,'Tela de entrada'!U29),'Contrato Flexível Prioridade'!$B$2:$B$41,0),1)</f>
        <v>10</v>
      </c>
      <c r="V30" s="19">
        <f>INDEX('Contrato Flexível Prioridade'!$Q$2:$Q$41,MATCH(CONCATENATE($F$28,'Tela de entrada'!V29),'Contrato Flexível Prioridade'!$B$2:$B$41,0),1)</f>
        <v>10</v>
      </c>
      <c r="W30" s="19">
        <f>INDEX('Contrato Flexível Prioridade'!$Q$2:$Q$41,MATCH(CONCATENATE($F$28,'Tela de entrada'!W29),'Contrato Flexível Prioridade'!$B$2:$B$41,0),1)</f>
        <v>10</v>
      </c>
      <c r="X30" s="19">
        <f>INDEX('Contrato Flexível Prioridade'!$Q$2:$Q$41,MATCH(CONCATENATE($F$28,'Tela de entrada'!X29),'Contrato Flexível Prioridade'!$B$2:$B$41,0),1)</f>
        <v>10</v>
      </c>
      <c r="Y30" s="19">
        <f>INDEX('Contrato Flexível Prioridade'!$Q$2:$Q$41,MATCH(CONCATENATE($F$28,'Tela de entrada'!Y29),'Contrato Flexível Prioridade'!$B$2:$B$41,0),1)</f>
        <v>10</v>
      </c>
      <c r="Z30" s="19">
        <f>INDEX('Contrato Flexível Prioridade'!$Q$2:$Q$41,MATCH(CONCATENATE($F$28,'Tela de entrada'!Z29),'Contrato Flexível Prioridade'!$B$2:$B$41,0),1)</f>
        <v>10</v>
      </c>
      <c r="AA30" s="19">
        <f>INDEX('Contrato Flexível Prioridade'!$Q$2:$Q$41,MATCH(CONCATENATE($F$28,'Tela de entrada'!AA29),'Contrato Flexível Prioridade'!$B$2:$B$41,0),1)</f>
        <v>9</v>
      </c>
      <c r="AB30" s="61">
        <f>INDEX('Contrato Flexível Prioridade'!$Q$2:$Q$41,MATCH(CONCATENATE($F$28,'Tela de entrada'!AB29),'Contrato Flexível Prioridade'!$B$2:$B$41,0),1)</f>
        <v>7.5</v>
      </c>
      <c r="AC30" s="74">
        <f>SUM(I30:AB30)</f>
        <v>168.5</v>
      </c>
      <c r="AD30" s="75">
        <f>AC30/20</f>
        <v>8.4250000000000007</v>
      </c>
    </row>
    <row r="31" spans="2:30" ht="15" customHeight="1" thickBot="1" x14ac:dyDescent="0.25">
      <c r="B31" s="36">
        <v>19</v>
      </c>
      <c r="C31" s="44">
        <v>30</v>
      </c>
      <c r="D31" s="24" t="s">
        <v>47</v>
      </c>
      <c r="F31" s="29" t="s">
        <v>31</v>
      </c>
      <c r="G31" s="125">
        <v>1</v>
      </c>
      <c r="H31" s="33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20"/>
    </row>
    <row r="32" spans="2:30" ht="13.5" thickBot="1" x14ac:dyDescent="0.25">
      <c r="B32" s="37">
        <v>20</v>
      </c>
      <c r="C32" s="87">
        <v>25</v>
      </c>
      <c r="D32" s="25" t="s">
        <v>47</v>
      </c>
      <c r="F32" s="13"/>
      <c r="G32" s="12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4"/>
    </row>
    <row r="33" spans="2:31" ht="12.75" customHeight="1" thickBot="1" x14ac:dyDescent="0.25">
      <c r="B33" s="88"/>
      <c r="C33" s="89"/>
      <c r="D33" s="90"/>
      <c r="F33" s="123" t="s">
        <v>28</v>
      </c>
      <c r="G33" s="69"/>
      <c r="H33" s="70"/>
      <c r="I33" s="108" t="s">
        <v>52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10"/>
    </row>
    <row r="34" spans="2:31" ht="12.75" customHeight="1" x14ac:dyDescent="0.2">
      <c r="B34" s="114" t="s">
        <v>86</v>
      </c>
      <c r="C34" s="114"/>
      <c r="D34" s="114"/>
      <c r="F34" s="121" t="s">
        <v>29</v>
      </c>
      <c r="G34" s="122">
        <v>0</v>
      </c>
      <c r="H34" s="31" t="s">
        <v>34</v>
      </c>
      <c r="I34" s="76">
        <v>1</v>
      </c>
      <c r="J34" s="77">
        <v>2</v>
      </c>
      <c r="K34" s="77">
        <v>3</v>
      </c>
      <c r="L34" s="77">
        <v>4</v>
      </c>
      <c r="M34" s="77">
        <v>5</v>
      </c>
      <c r="N34" s="77">
        <v>6</v>
      </c>
      <c r="O34" s="77">
        <v>7</v>
      </c>
      <c r="P34" s="77">
        <v>8</v>
      </c>
      <c r="Q34" s="77">
        <v>9</v>
      </c>
      <c r="R34" s="77">
        <v>10</v>
      </c>
      <c r="S34" s="77">
        <v>11</v>
      </c>
      <c r="T34" s="77">
        <v>12</v>
      </c>
      <c r="U34" s="77">
        <v>13</v>
      </c>
      <c r="V34" s="77">
        <v>14</v>
      </c>
      <c r="W34" s="77">
        <v>15</v>
      </c>
      <c r="X34" s="77">
        <v>16</v>
      </c>
      <c r="Y34" s="77">
        <v>17</v>
      </c>
      <c r="Z34" s="77">
        <v>18</v>
      </c>
      <c r="AA34" s="77">
        <v>19</v>
      </c>
      <c r="AB34" s="78">
        <v>20</v>
      </c>
      <c r="AC34" s="76" t="s">
        <v>87</v>
      </c>
      <c r="AD34" s="79" t="s">
        <v>88</v>
      </c>
    </row>
    <row r="35" spans="2:31" ht="13.5" thickBot="1" x14ac:dyDescent="0.25">
      <c r="B35" s="114"/>
      <c r="C35" s="114"/>
      <c r="D35" s="114"/>
      <c r="F35" s="56" t="s">
        <v>30</v>
      </c>
      <c r="G35" s="124">
        <v>10</v>
      </c>
      <c r="H35" s="31" t="s">
        <v>34</v>
      </c>
      <c r="I35" s="19">
        <f>INDEX('Contrato Flexível Prioridade'!$Q$2:$Q$41,MATCH(CONCATENATE($F$33,'Tela de entrada'!I34),'Contrato Flexível Prioridade'!$B$2:$B$41,0),1)</f>
        <v>0</v>
      </c>
      <c r="J35" s="19">
        <f>INDEX('Contrato Flexível Prioridade'!$Q$2:$Q$41,MATCH(CONCATENATE($F$33,'Tela de entrada'!J34),'Contrato Flexível Prioridade'!$B$2:$B$41,0),1)</f>
        <v>0</v>
      </c>
      <c r="K35" s="19">
        <f>INDEX('Contrato Flexível Prioridade'!$Q$2:$Q$41,MATCH(CONCATENATE($F$33,'Tela de entrada'!K34),'Contrato Flexível Prioridade'!$B$2:$B$41,0),1)</f>
        <v>0</v>
      </c>
      <c r="L35" s="19">
        <f>INDEX('Contrato Flexível Prioridade'!$Q$2:$Q$41,MATCH(CONCATENATE($F$33,'Tela de entrada'!L34),'Contrato Flexível Prioridade'!$B$2:$B$41,0),1)</f>
        <v>0</v>
      </c>
      <c r="M35" s="19">
        <f>INDEX('Contrato Flexível Prioridade'!$Q$2:$Q$41,MATCH(CONCATENATE($F$33,'Tela de entrada'!M34),'Contrato Flexível Prioridade'!$B$2:$B$41,0),1)</f>
        <v>0.5</v>
      </c>
      <c r="N35" s="19">
        <f>INDEX('Contrato Flexível Prioridade'!$Q$2:$Q$41,MATCH(CONCATENATE($F$33,'Tela de entrada'!N34),'Contrato Flexível Prioridade'!$B$2:$B$41,0),1)</f>
        <v>0.5</v>
      </c>
      <c r="O35" s="19">
        <f>INDEX('Contrato Flexível Prioridade'!$Q$2:$Q$41,MATCH(CONCATENATE($F$33,'Tela de entrada'!O34),'Contrato Flexível Prioridade'!$B$2:$B$41,0),1)</f>
        <v>2</v>
      </c>
      <c r="P35" s="19">
        <f>INDEX('Contrato Flexível Prioridade'!$Q$2:$Q$41,MATCH(CONCATENATE($F$33,'Tela de entrada'!P34),'Contrato Flexível Prioridade'!$B$2:$B$41,0),1)</f>
        <v>5</v>
      </c>
      <c r="Q35" s="19">
        <f>INDEX('Contrato Flexível Prioridade'!$Q$2:$Q$41,MATCH(CONCATENATE($F$33,'Tela de entrada'!Q34),'Contrato Flexível Prioridade'!$B$2:$B$41,0),1)</f>
        <v>5</v>
      </c>
      <c r="R35" s="19">
        <f>INDEX('Contrato Flexível Prioridade'!$Q$2:$Q$41,MATCH(CONCATENATE($F$33,'Tela de entrada'!R34),'Contrato Flexível Prioridade'!$B$2:$B$41,0),1)</f>
        <v>8</v>
      </c>
      <c r="S35" s="19">
        <f>INDEX('Contrato Flexível Prioridade'!$Q$2:$Q$41,MATCH(CONCATENATE($F$33,'Tela de entrada'!S34),'Contrato Flexível Prioridade'!$B$2:$B$41,0),1)</f>
        <v>9.5</v>
      </c>
      <c r="T35" s="19">
        <f>INDEX('Contrato Flexível Prioridade'!$Q$2:$Q$41,MATCH(CONCATENATE($F$33,'Tela de entrada'!T34),'Contrato Flexível Prioridade'!$B$2:$B$41,0),1)</f>
        <v>8</v>
      </c>
      <c r="U35" s="19">
        <f>INDEX('Contrato Flexível Prioridade'!$Q$2:$Q$41,MATCH(CONCATENATE($F$33,'Tela de entrada'!U34),'Contrato Flexível Prioridade'!$B$2:$B$41,0),1)</f>
        <v>6.5</v>
      </c>
      <c r="V35" s="19">
        <f>INDEX('Contrato Flexível Prioridade'!$Q$2:$Q$41,MATCH(CONCATENATE($F$33,'Tela de entrada'!V34),'Contrato Flexível Prioridade'!$B$2:$B$41,0),1)</f>
        <v>8</v>
      </c>
      <c r="W35" s="19">
        <f>INDEX('Contrato Flexível Prioridade'!$Q$2:$Q$41,MATCH(CONCATENATE($F$33,'Tela de entrada'!W34),'Contrato Flexível Prioridade'!$B$2:$B$41,0),1)</f>
        <v>8</v>
      </c>
      <c r="X35" s="19">
        <f>INDEX('Contrato Flexível Prioridade'!$Q$2:$Q$41,MATCH(CONCATENATE($F$33,'Tela de entrada'!X34),'Contrato Flexível Prioridade'!$B$2:$B$41,0),1)</f>
        <v>5</v>
      </c>
      <c r="Y35" s="19">
        <f>INDEX('Contrato Flexível Prioridade'!$Q$2:$Q$41,MATCH(CONCATENATE($F$33,'Tela de entrada'!Y34),'Contrato Flexível Prioridade'!$B$2:$B$41,0),1)</f>
        <v>3.5</v>
      </c>
      <c r="Z35" s="19">
        <f>INDEX('Contrato Flexível Prioridade'!$Q$2:$Q$41,MATCH(CONCATENATE($F$33,'Tela de entrada'!Z34),'Contrato Flexível Prioridade'!$B$2:$B$41,0),1)</f>
        <v>2</v>
      </c>
      <c r="AA35" s="19">
        <f>INDEX('Contrato Flexível Prioridade'!$Q$2:$Q$41,MATCH(CONCATENATE($F$33,'Tela de entrada'!AA34),'Contrato Flexível Prioridade'!$B$2:$B$41,0),1)</f>
        <v>0</v>
      </c>
      <c r="AB35" s="61">
        <f>INDEX('Contrato Flexível Prioridade'!$Q$2:$Q$41,MATCH(CONCATENATE($F$33,'Tela de entrada'!AB34),'Contrato Flexível Prioridade'!$B$2:$B$41,0),1)</f>
        <v>0</v>
      </c>
      <c r="AC35" s="73">
        <f>SUM(I35:AB35)</f>
        <v>71.5</v>
      </c>
      <c r="AD35" s="63">
        <f>AC35/20</f>
        <v>3.5750000000000002</v>
      </c>
    </row>
    <row r="36" spans="2:31" ht="13.5" thickBot="1" x14ac:dyDescent="0.25">
      <c r="F36" s="29" t="s">
        <v>31</v>
      </c>
      <c r="G36" s="126">
        <v>2</v>
      </c>
      <c r="H36" s="33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21"/>
    </row>
    <row r="37" spans="2:31" ht="15" customHeight="1" thickBot="1" x14ac:dyDescent="0.25">
      <c r="F37" s="12"/>
      <c r="G37" s="5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2:31" ht="12.75" customHeight="1" thickBot="1" x14ac:dyDescent="0.25">
      <c r="D38" s="7"/>
      <c r="F38" s="85"/>
      <c r="G38" s="101" t="s">
        <v>87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3"/>
    </row>
    <row r="39" spans="2:31" ht="12.75" customHeight="1" x14ac:dyDescent="0.2">
      <c r="D39" s="7"/>
      <c r="F39" s="85"/>
      <c r="G39" s="95"/>
      <c r="H39" s="96"/>
      <c r="I39" s="91">
        <v>1</v>
      </c>
      <c r="J39" s="92">
        <v>2</v>
      </c>
      <c r="K39" s="92">
        <v>3</v>
      </c>
      <c r="L39" s="92">
        <v>4</v>
      </c>
      <c r="M39" s="92">
        <v>5</v>
      </c>
      <c r="N39" s="92">
        <v>6</v>
      </c>
      <c r="O39" s="92">
        <v>7</v>
      </c>
      <c r="P39" s="92">
        <v>8</v>
      </c>
      <c r="Q39" s="92">
        <v>9</v>
      </c>
      <c r="R39" s="92">
        <v>10</v>
      </c>
      <c r="S39" s="92">
        <v>11</v>
      </c>
      <c r="T39" s="92">
        <v>12</v>
      </c>
      <c r="U39" s="92">
        <v>13</v>
      </c>
      <c r="V39" s="92">
        <v>14</v>
      </c>
      <c r="W39" s="92">
        <v>15</v>
      </c>
      <c r="X39" s="92">
        <v>16</v>
      </c>
      <c r="Y39" s="92">
        <v>17</v>
      </c>
      <c r="Z39" s="92">
        <v>18</v>
      </c>
      <c r="AA39" s="92">
        <v>19</v>
      </c>
      <c r="AB39" s="93">
        <v>20</v>
      </c>
      <c r="AC39" s="91" t="s">
        <v>87</v>
      </c>
      <c r="AD39" s="94" t="s">
        <v>88</v>
      </c>
    </row>
    <row r="40" spans="2:31" ht="15" customHeight="1" x14ac:dyDescent="0.2">
      <c r="F40" s="86"/>
      <c r="G40" s="97" t="s">
        <v>65</v>
      </c>
      <c r="H40" s="98"/>
      <c r="I40" s="19">
        <f t="shared" ref="I40:AB40" si="0">I17+I22+I30+I35</f>
        <v>5</v>
      </c>
      <c r="J40" s="19">
        <f t="shared" si="0"/>
        <v>5</v>
      </c>
      <c r="K40" s="19">
        <f t="shared" si="0"/>
        <v>15</v>
      </c>
      <c r="L40" s="19">
        <f t="shared" si="0"/>
        <v>15</v>
      </c>
      <c r="M40" s="19">
        <f t="shared" si="0"/>
        <v>35</v>
      </c>
      <c r="N40" s="19">
        <f t="shared" si="0"/>
        <v>35</v>
      </c>
      <c r="O40" s="19">
        <f t="shared" si="0"/>
        <v>40</v>
      </c>
      <c r="P40" s="19">
        <f t="shared" si="0"/>
        <v>50</v>
      </c>
      <c r="Q40" s="19">
        <f t="shared" si="0"/>
        <v>50</v>
      </c>
      <c r="R40" s="19">
        <f t="shared" si="0"/>
        <v>60</v>
      </c>
      <c r="S40" s="19">
        <f t="shared" si="0"/>
        <v>65</v>
      </c>
      <c r="T40" s="19">
        <f t="shared" si="0"/>
        <v>60</v>
      </c>
      <c r="U40" s="19">
        <f t="shared" si="0"/>
        <v>55</v>
      </c>
      <c r="V40" s="19">
        <f t="shared" si="0"/>
        <v>60</v>
      </c>
      <c r="W40" s="19">
        <f t="shared" si="0"/>
        <v>60</v>
      </c>
      <c r="X40" s="19">
        <f t="shared" si="0"/>
        <v>50</v>
      </c>
      <c r="Y40" s="19">
        <f t="shared" si="0"/>
        <v>45</v>
      </c>
      <c r="Z40" s="19">
        <f t="shared" si="0"/>
        <v>40</v>
      </c>
      <c r="AA40" s="19">
        <f t="shared" si="0"/>
        <v>30</v>
      </c>
      <c r="AB40" s="19">
        <f t="shared" si="0"/>
        <v>25</v>
      </c>
      <c r="AC40" s="73">
        <f>SUM(I40:AB40)</f>
        <v>800</v>
      </c>
      <c r="AD40" s="63">
        <f>AC40/20</f>
        <v>40</v>
      </c>
    </row>
    <row r="41" spans="2:31" ht="12.75" customHeight="1" thickBot="1" x14ac:dyDescent="0.25">
      <c r="G41" s="99" t="s">
        <v>66</v>
      </c>
      <c r="H41" s="100"/>
      <c r="I41" s="18">
        <f>INDEX($C$13:$C$32,MATCH(I39,$B$13:$B$32,0),1)</f>
        <v>5</v>
      </c>
      <c r="J41" s="18">
        <f t="shared" ref="J41:AB41" si="1">INDEX($C$13:$C$32,MATCH(J39,$B$13:$B$32,0),1)</f>
        <v>5</v>
      </c>
      <c r="K41" s="18">
        <f t="shared" si="1"/>
        <v>15</v>
      </c>
      <c r="L41" s="18">
        <f t="shared" si="1"/>
        <v>15</v>
      </c>
      <c r="M41" s="18">
        <f t="shared" si="1"/>
        <v>35</v>
      </c>
      <c r="N41" s="18">
        <f t="shared" si="1"/>
        <v>35</v>
      </c>
      <c r="O41" s="18">
        <f t="shared" si="1"/>
        <v>40</v>
      </c>
      <c r="P41" s="18">
        <f t="shared" si="1"/>
        <v>50</v>
      </c>
      <c r="Q41" s="18">
        <f t="shared" si="1"/>
        <v>50</v>
      </c>
      <c r="R41" s="18">
        <f t="shared" si="1"/>
        <v>60</v>
      </c>
      <c r="S41" s="18">
        <f t="shared" si="1"/>
        <v>65</v>
      </c>
      <c r="T41" s="18">
        <f t="shared" si="1"/>
        <v>60</v>
      </c>
      <c r="U41" s="18">
        <f t="shared" si="1"/>
        <v>55</v>
      </c>
      <c r="V41" s="18">
        <f t="shared" si="1"/>
        <v>60</v>
      </c>
      <c r="W41" s="18">
        <f t="shared" si="1"/>
        <v>60</v>
      </c>
      <c r="X41" s="18">
        <f t="shared" si="1"/>
        <v>50</v>
      </c>
      <c r="Y41" s="18">
        <f t="shared" si="1"/>
        <v>45</v>
      </c>
      <c r="Z41" s="18">
        <f t="shared" si="1"/>
        <v>40</v>
      </c>
      <c r="AA41" s="18">
        <f t="shared" si="1"/>
        <v>30</v>
      </c>
      <c r="AB41" s="18">
        <f t="shared" si="1"/>
        <v>25</v>
      </c>
      <c r="AC41" s="60">
        <f>SUM(I41:AB41)</f>
        <v>800</v>
      </c>
      <c r="AD41" s="72">
        <f>AC41/20</f>
        <v>40</v>
      </c>
    </row>
    <row r="42" spans="2:31" ht="12.75" customHeight="1" x14ac:dyDescent="0.2">
      <c r="L42" s="6"/>
      <c r="Z42" s="54"/>
      <c r="AA42" s="54"/>
      <c r="AB42" s="54"/>
      <c r="AC42" s="62"/>
      <c r="AD42" s="53"/>
      <c r="AE42" s="11"/>
    </row>
    <row r="43" spans="2:31" x14ac:dyDescent="0.2">
      <c r="L43" s="6"/>
    </row>
  </sheetData>
  <sheetProtection algorithmName="SHA-512" hashValue="q5KHGVeb0WPImwjdpYJtyhAg5pfw4OlEd27mWZNrjTTGVZ/IoBxiNcavtjRSFHwy1nr/ouS9K87F0DuWYZK3YA==" saltValue="ai3CvSQYV9+GW0O0mh2e5A==" spinCount="100000" sheet="1" objects="1" scenarios="1"/>
  <dataConsolidate/>
  <mergeCells count="23">
    <mergeCell ref="B34:D35"/>
    <mergeCell ref="B11:D11"/>
    <mergeCell ref="C12:D12"/>
    <mergeCell ref="I20:AD20"/>
    <mergeCell ref="F19:AD19"/>
    <mergeCell ref="F27:AD27"/>
    <mergeCell ref="I28:AD28"/>
    <mergeCell ref="I33:AD33"/>
    <mergeCell ref="E7:AE7"/>
    <mergeCell ref="E8:AE8"/>
    <mergeCell ref="U9:W9"/>
    <mergeCell ref="E9:T9"/>
    <mergeCell ref="D1:AB1"/>
    <mergeCell ref="E3:AE3"/>
    <mergeCell ref="E4:AE4"/>
    <mergeCell ref="E5:AE5"/>
    <mergeCell ref="E6:AE6"/>
    <mergeCell ref="G40:H40"/>
    <mergeCell ref="G41:H41"/>
    <mergeCell ref="G38:AD38"/>
    <mergeCell ref="F11:AD11"/>
    <mergeCell ref="I15:AD15"/>
    <mergeCell ref="I12:AD12"/>
  </mergeCells>
  <dataValidations count="11">
    <dataValidation type="decimal" allowBlank="1" showInputMessage="1" showErrorMessage="1" sqref="G25">
      <formula1>0</formula1>
      <formula2>1</formula2>
    </dataValidation>
    <dataValidation type="decimal" operator="greaterThanOrEqual" allowBlank="1" showInputMessage="1" showErrorMessage="1" errorTitle="Limite de modulação" error="O limite máximo deve ser maior ou igual ao limite mínimo!" sqref="G15">
      <formula1>G14</formula1>
    </dataValidation>
    <dataValidation type="decimal" operator="lessThanOrEqual" allowBlank="1" showInputMessage="1" showErrorMessage="1" errorTitle="Limite de modução" error="O limite mínimo de modulação deve ser menor ou igual ao limite máximo de modulação!" sqref="G14">
      <formula1>G15</formula1>
    </dataValidation>
    <dataValidation type="decimal" operator="lessThanOrEqual" allowBlank="1" showInputMessage="1" showErrorMessage="1" errorTitle="Montante mínimo" error="O montante mínimo do contrato deve ser menor ou igual ao montante máximo!" sqref="G20">
      <formula1>G21</formula1>
    </dataValidation>
    <dataValidation type="decimal" operator="greaterThanOrEqual" allowBlank="1" showInputMessage="1" showErrorMessage="1" errorTitle="Montante máximo" error="O montante máximo do contrato deve ser maior ou igual ao montante mínimo!" sqref="G21">
      <formula1>G20</formula1>
    </dataValidation>
    <dataValidation type="decimal" operator="lessThanOrEqual" allowBlank="1" showInputMessage="1" showErrorMessage="1" errorTitle="Limite mínimo de modulação" error="O limite mínimo de modulação deve ser menor ou igual ao montante minimo do contrato!" sqref="G23">
      <formula1>G20</formula1>
    </dataValidation>
    <dataValidation type="decimal" operator="greaterThanOrEqual" allowBlank="1" showInputMessage="1" showErrorMessage="1" errorTitle="Limite máximo de modulação" error="O limite máximo de modulação do contrato deve ser maior ou igual ao montante máximo do contrato!" sqref="G24">
      <formula1>G21</formula1>
    </dataValidation>
    <dataValidation type="decimal" operator="lessThanOrEqual" allowBlank="1" showInputMessage="1" showErrorMessage="1" errorTitle="Montante mínimo do contrato" error="O montante mínimo do contrato deve ser menor ou igual ao montante máximo!" sqref="G29 G34">
      <formula1>G30</formula1>
    </dataValidation>
    <dataValidation type="decimal" operator="greaterThanOrEqual" allowBlank="1" showInputMessage="1" showErrorMessage="1" errorTitle="Montante máximo do contrato" error="O montante máximo do contrato deve ser maior ou igual ao montante mínimo!" sqref="G30 G35">
      <formula1>G29</formula1>
    </dataValidation>
    <dataValidation type="custom" operator="notEqual" allowBlank="1" showInputMessage="1" showErrorMessage="1" errorTitle="Prioridade dos contratos" error="A prioridade do contrato 1 não pode ser igual a prioridade do contrato 2. Também não pode ser igual a zero e maior do que 2. Mas esta célula pode ficar em branco!" sqref="G31">
      <formula1>IF(AND(G31&lt;&gt;G36,G31&gt;0,G31&lt;3),G31,"")</formula1>
    </dataValidation>
    <dataValidation type="custom" operator="notEqual" allowBlank="1" showInputMessage="1" showErrorMessage="1" errorTitle="Prioridade dos contratos" error="A prioridade do contrato 1 não pode ser igual a prioridade do contrato 2. Também não pode ser igual a zero e maior do que 2. Mas esta célula pode ficar em branco!" sqref="G36">
      <formula1>IF(AND(G36&lt;&gt;G31,G36&gt;0,G36&lt;3),G36,"")</formula1>
    </dataValidation>
  </dataValidations>
  <hyperlinks>
    <hyperlink ref="U9" r:id="rId1" display="Biblioteca Virtual 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Opções de modulação" error="As opções de modulação para esta simulação são: flat, conforme carga ou declarado (no caso de declarar deixe em branco o tipo de modulação)!">
          <x14:formula1>
            <xm:f>Plan5!$A$1:$A$3</xm:f>
          </x14:formula1>
          <xm:sqref>G13</xm:sqref>
        </x14:dataValidation>
        <x14:dataValidation type="list" allowBlank="1" showInputMessage="1" showErrorMessage="1" errorTitle="Opções de modulação" error="As opções de modulação são: flat, conforme carga! ">
          <x14:formula1>
            <xm:f>Plan5!$A$1:$A$3</xm:f>
          </x14:formula1>
          <xm:sqref>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selection activeCell="U13" sqref="U13"/>
    </sheetView>
  </sheetViews>
  <sheetFormatPr defaultRowHeight="15" x14ac:dyDescent="0.25"/>
  <cols>
    <col min="1" max="1" width="2.7109375" bestFit="1" customWidth="1"/>
    <col min="2" max="2" width="2" bestFit="1" customWidth="1"/>
    <col min="3" max="3" width="2.140625" bestFit="1" customWidth="1"/>
    <col min="4" max="4" width="3" bestFit="1" customWidth="1"/>
    <col min="5" max="5" width="2.28515625" bestFit="1" customWidth="1"/>
    <col min="6" max="6" width="3.28515625" bestFit="1" customWidth="1"/>
    <col min="7" max="7" width="7.7109375" bestFit="1" customWidth="1"/>
    <col min="8" max="8" width="6.42578125" bestFit="1" customWidth="1"/>
    <col min="9" max="9" width="6.85546875" bestFit="1" customWidth="1"/>
    <col min="10" max="10" width="8.85546875" bestFit="1" customWidth="1"/>
    <col min="11" max="11" width="8.42578125" bestFit="1" customWidth="1"/>
    <col min="12" max="12" width="8" bestFit="1" customWidth="1"/>
    <col min="13" max="13" width="9.85546875" bestFit="1" customWidth="1"/>
    <col min="14" max="14" width="8.28515625" bestFit="1" customWidth="1"/>
    <col min="15" max="15" width="9.7109375" bestFit="1" customWidth="1"/>
    <col min="16" max="16" width="8.7109375" bestFit="1" customWidth="1"/>
    <col min="17" max="17" width="9" customWidth="1"/>
    <col min="18" max="18" width="10.7109375" bestFit="1" customWidth="1"/>
    <col min="33" max="33" width="19.140625" bestFit="1" customWidth="1"/>
  </cols>
  <sheetData>
    <row r="1" spans="1:41" x14ac:dyDescent="0.25">
      <c r="A1" t="s">
        <v>11</v>
      </c>
      <c r="B1" t="s">
        <v>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17</v>
      </c>
      <c r="J1" t="s">
        <v>15</v>
      </c>
      <c r="K1" t="s">
        <v>16</v>
      </c>
      <c r="L1" t="s">
        <v>18</v>
      </c>
      <c r="M1" s="26" t="s">
        <v>12</v>
      </c>
      <c r="N1" s="26" t="s">
        <v>13</v>
      </c>
      <c r="O1" s="4" t="s">
        <v>6</v>
      </c>
      <c r="P1" s="4" t="s">
        <v>7</v>
      </c>
      <c r="Q1" s="4" t="s">
        <v>8</v>
      </c>
      <c r="R1" s="4" t="s">
        <v>9</v>
      </c>
      <c r="AB1" t="s">
        <v>14</v>
      </c>
      <c r="AC1" t="s">
        <v>22</v>
      </c>
      <c r="AD1" t="s">
        <v>23</v>
      </c>
      <c r="AE1" s="3" t="s">
        <v>19</v>
      </c>
      <c r="AF1" s="3" t="s">
        <v>20</v>
      </c>
      <c r="AG1" t="s">
        <v>21</v>
      </c>
      <c r="AH1" t="s">
        <v>24</v>
      </c>
    </row>
    <row r="2" spans="1:41" x14ac:dyDescent="0.25">
      <c r="A2">
        <v>1</v>
      </c>
      <c r="B2">
        <v>1</v>
      </c>
      <c r="C2">
        <v>1</v>
      </c>
      <c r="D2">
        <v>1</v>
      </c>
      <c r="E2">
        <v>1</v>
      </c>
      <c r="F2" s="1">
        <f>INDEX('Tela de entrada'!$C$13:$C$32,MATCH('Contrato Flexível Percentual'!D2,'Tela de entrada'!$B$13:$B$32,0),1)</f>
        <v>5</v>
      </c>
      <c r="G2">
        <v>0</v>
      </c>
      <c r="H2">
        <f>F2-G2</f>
        <v>5</v>
      </c>
      <c r="I2" s="1">
        <f>SUM(H2:H21)*'Tela de entrada'!$G$25</f>
        <v>160</v>
      </c>
      <c r="J2" s="1">
        <f>'Tela de entrada'!$G$21*20</f>
        <v>1000</v>
      </c>
      <c r="K2" s="1">
        <f>'Tela de entrada'!$G$20*20</f>
        <v>100</v>
      </c>
      <c r="L2" s="1">
        <f>MIN(J2,MAX(K2,I2))</f>
        <v>160</v>
      </c>
      <c r="M2" s="1">
        <f>H2/IF(SUM($H$2:$H$21)=0,1,SUM($H$2:$H$21))</f>
        <v>6.2500000000000003E-3</v>
      </c>
      <c r="N2" s="1">
        <f>IF('Tela de entrada'!$G$22="carga",$L$2*M2,'Contrato Flexível Percentual'!$L$2/20)</f>
        <v>1</v>
      </c>
      <c r="O2" s="1">
        <f>IFERROR(MIN('Tela de entrada'!$G$24,MAX(N2,'Tela de entrada'!$G$23)),"")</f>
        <v>1</v>
      </c>
      <c r="P2" s="1">
        <f>MAX(0,(SUMIFS($O$2:$O$21,$B$2:$B$21,B2,$A$2:$A$21,A2)-SUMIFS($N$2:$N$21,$B$2:$B$21,B2,$A$2:$A$21,A2)))*((O2-'Tela de entrada'!$G$23)/(IF(SUMIFS($O$2:$O$21,$B$2:$B$21,B2,$A$2:$A$21,A2)-('Tela de entrada'!$G$23*20)=0,1,SUMIFS($O$2:$O$21,$B$2:$B$21,B2,$A$2:$A$21,A2)-('Tela de entrada'!$G$23*20))))</f>
        <v>0</v>
      </c>
      <c r="Q2" s="1">
        <f>MAX(0,(SUMIFS($N$2:$N$21,$B$2:$B$21,B2,$A$2:$A$21,A2)-SUMIFS($O$2:$O$21,$B$2:$B$21,B2,$A$2:$A$21,A2)))*(('Tela de entrada'!$G$24-O2)/(IF((('Tela de entrada'!$G$24*20)-SUMIFS($O$2:$O$21,$B$2:$B$21,B2,$A$2:$A$21,A2))=0,1,(('Tela de entrada'!$G$24*20)-SUMIFS($O$2:$O$21,$B$2:$B$21,B2,$A$2:$A$21,A2)))))</f>
        <v>0</v>
      </c>
      <c r="R2" s="1">
        <f>O2-P2+Q2</f>
        <v>1</v>
      </c>
      <c r="T2" s="2"/>
      <c r="AA2">
        <v>1</v>
      </c>
      <c r="AB2">
        <f t="shared" ref="AB2:AB21" si="0">H2</f>
        <v>5</v>
      </c>
      <c r="AC2">
        <v>5</v>
      </c>
      <c r="AD2" s="5">
        <f t="shared" ref="AD2:AD21" si="1">N2</f>
        <v>1</v>
      </c>
      <c r="AE2">
        <f>'Tela de entrada'!$G$24</f>
        <v>50</v>
      </c>
      <c r="AF2">
        <f>'Tela de entrada'!$G$23</f>
        <v>0</v>
      </c>
      <c r="AG2" s="5">
        <f>R2</f>
        <v>1</v>
      </c>
      <c r="AH2" s="5">
        <f>AC2+AG2</f>
        <v>6</v>
      </c>
    </row>
    <row r="3" spans="1:41" x14ac:dyDescent="0.25">
      <c r="A3">
        <v>1</v>
      </c>
      <c r="B3">
        <v>1</v>
      </c>
      <c r="C3">
        <v>1</v>
      </c>
      <c r="D3">
        <v>2</v>
      </c>
      <c r="E3">
        <v>1</v>
      </c>
      <c r="F3" s="1">
        <f>INDEX('Tela de entrada'!$C$13:$C$32,MATCH('Contrato Flexível Percentual'!D3,'Tela de entrada'!$B$13:$B$32,0),1)</f>
        <v>5</v>
      </c>
      <c r="G3">
        <v>0</v>
      </c>
      <c r="H3">
        <f t="shared" ref="H3:H21" si="2">F3-G3</f>
        <v>5</v>
      </c>
      <c r="M3" s="1">
        <f t="shared" ref="M3:M21" si="3">H3/IF(SUM($H$2:$H$21)=0,1,SUM($H$2:$H$21))</f>
        <v>6.2500000000000003E-3</v>
      </c>
      <c r="N3" s="1">
        <f>IF('Tela de entrada'!$G$22="carga",$L$2*M3,'Contrato Flexível Percentual'!$L$2/20)</f>
        <v>1</v>
      </c>
      <c r="O3" s="1">
        <f>IFERROR(MIN('Tela de entrada'!$G$24,MAX(N3,'Tela de entrada'!$G$23)),"")</f>
        <v>1</v>
      </c>
      <c r="P3" s="1">
        <f>MAX(0,(SUMIFS($O$2:$O$21,$B$2:$B$21,B3,$A$2:$A$21,A3)-SUMIFS($N$2:$N$21,$B$2:$B$21,B3,$A$2:$A$21,A3)))*((O3-'Tela de entrada'!$G$23)/(IF(SUMIFS($O$2:$O$21,$B$2:$B$21,B3,$A$2:$A$21,A3)-('Tela de entrada'!$G$23*20)=0,1,SUMIFS($O$2:$O$21,$B$2:$B$21,B3,$A$2:$A$21,A3)-('Tela de entrada'!$G$23*20))))</f>
        <v>0</v>
      </c>
      <c r="Q3" s="1">
        <f>MAX(0,(SUMIFS($N$2:$N$21,$B$2:$B$21,B3,$A$2:$A$21,A3)-SUMIFS($O$2:$O$21,$B$2:$B$21,B3,$A$2:$A$21,A3)))*(('Tela de entrada'!$G$24-O3)/(IF((('Tela de entrada'!$G$24*20)-SUMIFS($O$2:$O$21,$B$2:$B$21,B3,$A$2:$A$21,A3))=0,1,(('Tela de entrada'!$G$24*20)-SUMIFS($O$2:$O$21,$B$2:$B$21,B3,$A$2:$A$21,A3)))))</f>
        <v>0</v>
      </c>
      <c r="R3" s="1">
        <f t="shared" ref="R3:R21" si="4">O3-P3+Q3</f>
        <v>1</v>
      </c>
      <c r="T3" s="2"/>
      <c r="AA3">
        <v>2</v>
      </c>
      <c r="AB3">
        <f t="shared" si="0"/>
        <v>5</v>
      </c>
      <c r="AC3">
        <v>5</v>
      </c>
      <c r="AD3" s="5">
        <f t="shared" si="1"/>
        <v>1</v>
      </c>
      <c r="AE3">
        <f>'Tela de entrada'!$G$24</f>
        <v>50</v>
      </c>
      <c r="AF3">
        <f>'Tela de entrada'!$G$23</f>
        <v>0</v>
      </c>
      <c r="AG3" s="5">
        <f t="shared" ref="AG3:AG22" si="5">R3</f>
        <v>1</v>
      </c>
      <c r="AH3" s="5">
        <f t="shared" ref="AH3:AH21" si="6">AC3+AG3</f>
        <v>6</v>
      </c>
    </row>
    <row r="4" spans="1:41" x14ac:dyDescent="0.25">
      <c r="A4">
        <v>1</v>
      </c>
      <c r="B4">
        <v>1</v>
      </c>
      <c r="C4">
        <v>1</v>
      </c>
      <c r="D4">
        <v>3</v>
      </c>
      <c r="E4">
        <v>1</v>
      </c>
      <c r="F4" s="1">
        <f>INDEX('Tela de entrada'!$C$13:$C$32,MATCH('Contrato Flexível Percentual'!D4,'Tela de entrada'!$B$13:$B$32,0),1)</f>
        <v>15</v>
      </c>
      <c r="G4">
        <v>0</v>
      </c>
      <c r="H4">
        <f t="shared" si="2"/>
        <v>15</v>
      </c>
      <c r="M4" s="1">
        <f t="shared" si="3"/>
        <v>1.8749999999999999E-2</v>
      </c>
      <c r="N4" s="1">
        <f>IF('Tela de entrada'!$G$22="carga",$L$2*M4,'Contrato Flexível Percentual'!$L$2/20)</f>
        <v>3</v>
      </c>
      <c r="O4" s="1">
        <f>IFERROR(MIN('Tela de entrada'!$G$24,MAX(N4,'Tela de entrada'!$G$23)),"")</f>
        <v>3</v>
      </c>
      <c r="P4" s="1">
        <f>MAX(0,(SUMIFS($O$2:$O$21,$B$2:$B$21,B4,$A$2:$A$21,A4)-SUMIFS($N$2:$N$21,$B$2:$B$21,B4,$A$2:$A$21,A4)))*((O4-'Tela de entrada'!$G$23)/(IF(SUMIFS($O$2:$O$21,$B$2:$B$21,B4,$A$2:$A$21,A4)-('Tela de entrada'!$G$23*20)=0,1,SUMIFS($O$2:$O$21,$B$2:$B$21,B4,$A$2:$A$21,A4)-('Tela de entrada'!$G$23*20))))</f>
        <v>0</v>
      </c>
      <c r="Q4" s="1">
        <f>MAX(0,(SUMIFS($N$2:$N$21,$B$2:$B$21,B4,$A$2:$A$21,A4)-SUMIFS($O$2:$O$21,$B$2:$B$21,B4,$A$2:$A$21,A4)))*(('Tela de entrada'!$G$24-O4)/(IF((('Tela de entrada'!$G$24*20)-SUMIFS($O$2:$O$21,$B$2:$B$21,B4,$A$2:$A$21,A4))=0,1,(('Tela de entrada'!$G$24*20)-SUMIFS($O$2:$O$21,$B$2:$B$21,B4,$A$2:$A$21,A4)))))</f>
        <v>0</v>
      </c>
      <c r="R4" s="1">
        <f t="shared" si="4"/>
        <v>3</v>
      </c>
      <c r="T4" s="2"/>
      <c r="AA4">
        <v>3</v>
      </c>
      <c r="AB4">
        <f t="shared" si="0"/>
        <v>15</v>
      </c>
      <c r="AC4">
        <v>5</v>
      </c>
      <c r="AD4" s="5">
        <f t="shared" si="1"/>
        <v>3</v>
      </c>
      <c r="AE4">
        <f>'Tela de entrada'!$G$24</f>
        <v>50</v>
      </c>
      <c r="AF4">
        <f>'Tela de entrada'!$G$23</f>
        <v>0</v>
      </c>
      <c r="AG4" s="5">
        <f t="shared" si="5"/>
        <v>3</v>
      </c>
      <c r="AH4" s="5">
        <f t="shared" si="6"/>
        <v>8</v>
      </c>
    </row>
    <row r="5" spans="1:41" x14ac:dyDescent="0.25">
      <c r="A5">
        <v>1</v>
      </c>
      <c r="B5">
        <v>1</v>
      </c>
      <c r="C5">
        <v>1</v>
      </c>
      <c r="D5">
        <v>4</v>
      </c>
      <c r="E5">
        <v>1</v>
      </c>
      <c r="F5" s="1">
        <f>INDEX('Tela de entrada'!$C$13:$C$32,MATCH('Contrato Flexível Percentual'!D5,'Tela de entrada'!$B$13:$B$32,0),1)</f>
        <v>15</v>
      </c>
      <c r="G5">
        <v>0</v>
      </c>
      <c r="H5">
        <f t="shared" si="2"/>
        <v>15</v>
      </c>
      <c r="M5" s="1">
        <f t="shared" si="3"/>
        <v>1.8749999999999999E-2</v>
      </c>
      <c r="N5" s="1">
        <f>IF('Tela de entrada'!$G$22="carga",$L$2*M5,'Contrato Flexível Percentual'!$L$2/20)</f>
        <v>3</v>
      </c>
      <c r="O5" s="1">
        <f>IFERROR(MIN('Tela de entrada'!$G$24,MAX(N5,'Tela de entrada'!$G$23)),"")</f>
        <v>3</v>
      </c>
      <c r="P5" s="1">
        <f>MAX(0,(SUMIFS($O$2:$O$21,$B$2:$B$21,B5,$A$2:$A$21,A5)-SUMIFS($N$2:$N$21,$B$2:$B$21,B5,$A$2:$A$21,A5)))*((O5-'Tela de entrada'!$G$23)/(IF(SUMIFS($O$2:$O$21,$B$2:$B$21,B5,$A$2:$A$21,A5)-('Tela de entrada'!$G$23*20)=0,1,SUMIFS($O$2:$O$21,$B$2:$B$21,B5,$A$2:$A$21,A5)-('Tela de entrada'!$G$23*20))))</f>
        <v>0</v>
      </c>
      <c r="Q5" s="1">
        <f>MAX(0,(SUMIFS($N$2:$N$21,$B$2:$B$21,B5,$A$2:$A$21,A5)-SUMIFS($O$2:$O$21,$B$2:$B$21,B5,$A$2:$A$21,A5)))*(('Tela de entrada'!$G$24-O5)/(IF((('Tela de entrada'!$G$24*20)-SUMIFS($O$2:$O$21,$B$2:$B$21,B5,$A$2:$A$21,A5))=0,1,(('Tela de entrada'!$G$24*20)-SUMIFS($O$2:$O$21,$B$2:$B$21,B5,$A$2:$A$21,A5)))))</f>
        <v>0</v>
      </c>
      <c r="R5" s="1">
        <f t="shared" si="4"/>
        <v>3</v>
      </c>
      <c r="T5" s="2"/>
      <c r="AA5">
        <v>4</v>
      </c>
      <c r="AB5">
        <f t="shared" si="0"/>
        <v>15</v>
      </c>
      <c r="AC5">
        <v>5</v>
      </c>
      <c r="AD5" s="5">
        <f t="shared" si="1"/>
        <v>3</v>
      </c>
      <c r="AE5">
        <f>'Tela de entrada'!$G$24</f>
        <v>50</v>
      </c>
      <c r="AF5">
        <f>'Tela de entrada'!$G$23</f>
        <v>0</v>
      </c>
      <c r="AG5" s="5">
        <f t="shared" si="5"/>
        <v>3</v>
      </c>
      <c r="AH5" s="5">
        <f t="shared" si="6"/>
        <v>8</v>
      </c>
    </row>
    <row r="6" spans="1:41" x14ac:dyDescent="0.25">
      <c r="A6">
        <v>1</v>
      </c>
      <c r="B6">
        <v>1</v>
      </c>
      <c r="C6">
        <v>1</v>
      </c>
      <c r="D6">
        <v>5</v>
      </c>
      <c r="E6">
        <v>1</v>
      </c>
      <c r="F6" s="1">
        <f>INDEX('Tela de entrada'!$C$13:$C$32,MATCH('Contrato Flexível Percentual'!D6,'Tela de entrada'!$B$13:$B$32,0),1)</f>
        <v>35</v>
      </c>
      <c r="G6">
        <v>0</v>
      </c>
      <c r="H6">
        <f t="shared" si="2"/>
        <v>35</v>
      </c>
      <c r="M6" s="1">
        <f t="shared" si="3"/>
        <v>4.3749999999999997E-2</v>
      </c>
      <c r="N6" s="1">
        <f>IF('Tela de entrada'!$G$22="carga",$L$2*M6,'Contrato Flexível Percentual'!$L$2/20)</f>
        <v>7</v>
      </c>
      <c r="O6" s="1">
        <f>IFERROR(MIN('Tela de entrada'!$G$24,MAX(N6,'Tela de entrada'!$G$23)),"")</f>
        <v>7</v>
      </c>
      <c r="P6" s="1">
        <f>MAX(0,(SUMIFS($O$2:$O$21,$B$2:$B$21,B6,$A$2:$A$21,A6)-SUMIFS($N$2:$N$21,$B$2:$B$21,B6,$A$2:$A$21,A6)))*((O6-'Tela de entrada'!$G$23)/(IF(SUMIFS($O$2:$O$21,$B$2:$B$21,B6,$A$2:$A$21,A6)-('Tela de entrada'!$G$23*20)=0,1,SUMIFS($O$2:$O$21,$B$2:$B$21,B6,$A$2:$A$21,A6)-('Tela de entrada'!$G$23*20))))</f>
        <v>0</v>
      </c>
      <c r="Q6" s="1">
        <f>MAX(0,(SUMIFS($N$2:$N$21,$B$2:$B$21,B6,$A$2:$A$21,A6)-SUMIFS($O$2:$O$21,$B$2:$B$21,B6,$A$2:$A$21,A6)))*(('Tela de entrada'!$G$24-O6)/(IF((('Tela de entrada'!$G$24*20)-SUMIFS($O$2:$O$21,$B$2:$B$21,B6,$A$2:$A$21,A6))=0,1,(('Tela de entrada'!$G$24*20)-SUMIFS($O$2:$O$21,$B$2:$B$21,B6,$A$2:$A$21,A6)))))</f>
        <v>0</v>
      </c>
      <c r="R6" s="1">
        <f t="shared" si="4"/>
        <v>7</v>
      </c>
      <c r="T6" s="2"/>
      <c r="AA6">
        <v>5</v>
      </c>
      <c r="AB6">
        <f t="shared" si="0"/>
        <v>35</v>
      </c>
      <c r="AC6">
        <v>15</v>
      </c>
      <c r="AD6" s="5">
        <f t="shared" si="1"/>
        <v>7</v>
      </c>
      <c r="AE6">
        <f>'Tela de entrada'!$G$24</f>
        <v>50</v>
      </c>
      <c r="AF6">
        <f>'Tela de entrada'!$G$23</f>
        <v>0</v>
      </c>
      <c r="AG6" s="5">
        <f t="shared" si="5"/>
        <v>7</v>
      </c>
      <c r="AH6" s="5">
        <f t="shared" si="6"/>
        <v>22</v>
      </c>
    </row>
    <row r="7" spans="1:41" x14ac:dyDescent="0.25">
      <c r="A7">
        <v>1</v>
      </c>
      <c r="B7">
        <v>1</v>
      </c>
      <c r="C7">
        <v>1</v>
      </c>
      <c r="D7">
        <v>6</v>
      </c>
      <c r="E7">
        <v>1</v>
      </c>
      <c r="F7" s="1">
        <f>INDEX('Tela de entrada'!$C$13:$C$32,MATCH('Contrato Flexível Percentual'!D7,'Tela de entrada'!$B$13:$B$32,0),1)</f>
        <v>35</v>
      </c>
      <c r="G7">
        <v>0</v>
      </c>
      <c r="H7">
        <f t="shared" si="2"/>
        <v>35</v>
      </c>
      <c r="M7" s="1">
        <f t="shared" si="3"/>
        <v>4.3749999999999997E-2</v>
      </c>
      <c r="N7" s="1">
        <f>IF('Tela de entrada'!$G$22="carga",$L$2*M7,'Contrato Flexível Percentual'!$L$2/20)</f>
        <v>7</v>
      </c>
      <c r="O7" s="1">
        <f>IFERROR(MIN('Tela de entrada'!$G$24,MAX(N7,'Tela de entrada'!$G$23)),"")</f>
        <v>7</v>
      </c>
      <c r="P7" s="1">
        <f>MAX(0,(SUMIFS($O$2:$O$21,$B$2:$B$21,B7,$A$2:$A$21,A7)-SUMIFS($N$2:$N$21,$B$2:$B$21,B7,$A$2:$A$21,A7)))*((O7-'Tela de entrada'!$G$23)/(IF(SUMIFS($O$2:$O$21,$B$2:$B$21,B7,$A$2:$A$21,A7)-('Tela de entrada'!$G$23*20)=0,1,SUMIFS($O$2:$O$21,$B$2:$B$21,B7,$A$2:$A$21,A7)-('Tela de entrada'!$G$23*20))))</f>
        <v>0</v>
      </c>
      <c r="Q7" s="1">
        <f>MAX(0,(SUMIFS($N$2:$N$21,$B$2:$B$21,B7,$A$2:$A$21,A7)-SUMIFS($O$2:$O$21,$B$2:$B$21,B7,$A$2:$A$21,A7)))*(('Tela de entrada'!$G$24-O7)/(IF((('Tela de entrada'!$G$24*20)-SUMIFS($O$2:$O$21,$B$2:$B$21,B7,$A$2:$A$21,A7))=0,1,(('Tela de entrada'!$G$24*20)-SUMIFS($O$2:$O$21,$B$2:$B$21,B7,$A$2:$A$21,A7)))))</f>
        <v>0</v>
      </c>
      <c r="R7" s="1">
        <f t="shared" si="4"/>
        <v>7</v>
      </c>
      <c r="T7" s="2"/>
      <c r="AA7">
        <v>6</v>
      </c>
      <c r="AB7">
        <f t="shared" si="0"/>
        <v>35</v>
      </c>
      <c r="AC7">
        <v>15</v>
      </c>
      <c r="AD7" s="5">
        <f t="shared" si="1"/>
        <v>7</v>
      </c>
      <c r="AE7">
        <f>'Tela de entrada'!$G$24</f>
        <v>50</v>
      </c>
      <c r="AF7">
        <f>'Tela de entrada'!$G$23</f>
        <v>0</v>
      </c>
      <c r="AG7" s="5">
        <f t="shared" si="5"/>
        <v>7</v>
      </c>
      <c r="AH7" s="5">
        <f t="shared" si="6"/>
        <v>22</v>
      </c>
      <c r="AK7">
        <v>300</v>
      </c>
      <c r="AL7">
        <f>AK7/AK8</f>
        <v>0.33333333333333331</v>
      </c>
    </row>
    <row r="8" spans="1:41" x14ac:dyDescent="0.25">
      <c r="A8">
        <v>1</v>
      </c>
      <c r="B8">
        <v>1</v>
      </c>
      <c r="C8">
        <v>1</v>
      </c>
      <c r="D8">
        <v>7</v>
      </c>
      <c r="E8">
        <v>1</v>
      </c>
      <c r="F8" s="1">
        <f>INDEX('Tela de entrada'!$C$13:$C$32,MATCH('Contrato Flexível Percentual'!D8,'Tela de entrada'!$B$13:$B$32,0),1)</f>
        <v>40</v>
      </c>
      <c r="G8">
        <v>0</v>
      </c>
      <c r="H8">
        <f t="shared" si="2"/>
        <v>40</v>
      </c>
      <c r="M8" s="1">
        <f t="shared" si="3"/>
        <v>0.05</v>
      </c>
      <c r="N8" s="1">
        <f>IF('Tela de entrada'!$G$22="carga",$L$2*M8,'Contrato Flexível Percentual'!$L$2/20)</f>
        <v>8</v>
      </c>
      <c r="O8" s="1">
        <f>IFERROR(MIN('Tela de entrada'!$G$24,MAX(N8,'Tela de entrada'!$G$23)),"")</f>
        <v>8</v>
      </c>
      <c r="P8" s="1">
        <f>MAX(0,(SUMIFS($O$2:$O$21,$B$2:$B$21,B8,$A$2:$A$21,A8)-SUMIFS($N$2:$N$21,$B$2:$B$21,B8,$A$2:$A$21,A8)))*((O8-'Tela de entrada'!$G$23)/(IF(SUMIFS($O$2:$O$21,$B$2:$B$21,B8,$A$2:$A$21,A8)-('Tela de entrada'!$G$23*20)=0,1,SUMIFS($O$2:$O$21,$B$2:$B$21,B8,$A$2:$A$21,A8)-('Tela de entrada'!$G$23*20))))</f>
        <v>0</v>
      </c>
      <c r="Q8" s="1">
        <f>MAX(0,(SUMIFS($N$2:$N$21,$B$2:$B$21,B8,$A$2:$A$21,A8)-SUMIFS($O$2:$O$21,$B$2:$B$21,B8,$A$2:$A$21,A8)))*(('Tela de entrada'!$G$24-O8)/(IF((('Tela de entrada'!$G$24*20)-SUMIFS($O$2:$O$21,$B$2:$B$21,B8,$A$2:$A$21,A8))=0,1,(('Tela de entrada'!$G$24*20)-SUMIFS($O$2:$O$21,$B$2:$B$21,B8,$A$2:$A$21,A8)))))</f>
        <v>0</v>
      </c>
      <c r="R8" s="1">
        <f t="shared" si="4"/>
        <v>8</v>
      </c>
      <c r="T8" s="2"/>
      <c r="AA8">
        <v>7</v>
      </c>
      <c r="AB8">
        <f t="shared" si="0"/>
        <v>40</v>
      </c>
      <c r="AC8">
        <v>15</v>
      </c>
      <c r="AD8" s="5">
        <f t="shared" si="1"/>
        <v>8</v>
      </c>
      <c r="AE8">
        <f>'Tela de entrada'!$G$24</f>
        <v>50</v>
      </c>
      <c r="AF8">
        <f>'Tela de entrada'!$G$23</f>
        <v>0</v>
      </c>
      <c r="AG8" s="5">
        <f t="shared" si="5"/>
        <v>8</v>
      </c>
      <c r="AH8" s="5">
        <f t="shared" si="6"/>
        <v>23</v>
      </c>
      <c r="AK8">
        <v>900</v>
      </c>
    </row>
    <row r="9" spans="1:41" x14ac:dyDescent="0.25">
      <c r="A9">
        <v>1</v>
      </c>
      <c r="B9">
        <v>1</v>
      </c>
      <c r="C9">
        <v>1</v>
      </c>
      <c r="D9">
        <v>8</v>
      </c>
      <c r="E9">
        <v>1</v>
      </c>
      <c r="F9" s="1">
        <f>INDEX('Tela de entrada'!$C$13:$C$32,MATCH('Contrato Flexível Percentual'!D9,'Tela de entrada'!$B$13:$B$32,0),1)</f>
        <v>50</v>
      </c>
      <c r="G9">
        <v>0</v>
      </c>
      <c r="H9">
        <f t="shared" si="2"/>
        <v>50</v>
      </c>
      <c r="M9" s="1">
        <f t="shared" si="3"/>
        <v>6.25E-2</v>
      </c>
      <c r="N9" s="1">
        <f>IF('Tela de entrada'!$G$22="carga",$L$2*M9,'Contrato Flexível Percentual'!$L$2/20)</f>
        <v>10</v>
      </c>
      <c r="O9" s="1">
        <f>IFERROR(MIN('Tela de entrada'!$G$24,MAX(N9,'Tela de entrada'!$G$23)),"")</f>
        <v>10</v>
      </c>
      <c r="P9" s="1">
        <f>MAX(0,(SUMIFS($O$2:$O$21,$B$2:$B$21,B9,$A$2:$A$21,A9)-SUMIFS($N$2:$N$21,$B$2:$B$21,B9,$A$2:$A$21,A9)))*((O9-'Tela de entrada'!$G$23)/(IF(SUMIFS($O$2:$O$21,$B$2:$B$21,B9,$A$2:$A$21,A9)-('Tela de entrada'!$G$23*20)=0,1,SUMIFS($O$2:$O$21,$B$2:$B$21,B9,$A$2:$A$21,A9)-('Tela de entrada'!$G$23*20))))</f>
        <v>0</v>
      </c>
      <c r="Q9" s="1">
        <f>MAX(0,(SUMIFS($N$2:$N$21,$B$2:$B$21,B9,$A$2:$A$21,A9)-SUMIFS($O$2:$O$21,$B$2:$B$21,B9,$A$2:$A$21,A9)))*(('Tela de entrada'!$G$24-O9)/(IF((('Tela de entrada'!$G$24*20)-SUMIFS($O$2:$O$21,$B$2:$B$21,B9,$A$2:$A$21,A9))=0,1,(('Tela de entrada'!$G$24*20)-SUMIFS($O$2:$O$21,$B$2:$B$21,B9,$A$2:$A$21,A9)))))</f>
        <v>0</v>
      </c>
      <c r="R9" s="1">
        <f t="shared" si="4"/>
        <v>10</v>
      </c>
      <c r="T9" s="2"/>
      <c r="AA9">
        <v>8</v>
      </c>
      <c r="AB9">
        <f t="shared" si="0"/>
        <v>50</v>
      </c>
      <c r="AC9">
        <v>45</v>
      </c>
      <c r="AD9" s="5">
        <f t="shared" si="1"/>
        <v>10</v>
      </c>
      <c r="AE9">
        <f>'Tela de entrada'!$G$24</f>
        <v>50</v>
      </c>
      <c r="AF9">
        <f>'Tela de entrada'!$G$23</f>
        <v>0</v>
      </c>
      <c r="AG9" s="5">
        <f t="shared" si="5"/>
        <v>10</v>
      </c>
      <c r="AH9" s="5">
        <f t="shared" si="6"/>
        <v>55</v>
      </c>
      <c r="AO9">
        <f>900*0.3</f>
        <v>270</v>
      </c>
    </row>
    <row r="10" spans="1:41" x14ac:dyDescent="0.25">
      <c r="A10">
        <v>1</v>
      </c>
      <c r="B10">
        <v>1</v>
      </c>
      <c r="C10">
        <v>1</v>
      </c>
      <c r="D10">
        <v>9</v>
      </c>
      <c r="E10">
        <v>1</v>
      </c>
      <c r="F10" s="1">
        <f>INDEX('Tela de entrada'!$C$13:$C$32,MATCH('Contrato Flexível Percentual'!D10,'Tela de entrada'!$B$13:$B$32,0),1)</f>
        <v>50</v>
      </c>
      <c r="G10">
        <v>0</v>
      </c>
      <c r="H10">
        <f t="shared" si="2"/>
        <v>50</v>
      </c>
      <c r="M10" s="1">
        <f t="shared" si="3"/>
        <v>6.25E-2</v>
      </c>
      <c r="N10" s="1">
        <f>IF('Tela de entrada'!$G$22="carga",$L$2*M10,'Contrato Flexível Percentual'!$L$2/20)</f>
        <v>10</v>
      </c>
      <c r="O10" s="1">
        <f>IFERROR(MIN('Tela de entrada'!$G$24,MAX(N10,'Tela de entrada'!$G$23)),"")</f>
        <v>10</v>
      </c>
      <c r="P10" s="1">
        <f>MAX(0,(SUMIFS($O$2:$O$21,$B$2:$B$21,B10,$A$2:$A$21,A10)-SUMIFS($N$2:$N$21,$B$2:$B$21,B10,$A$2:$A$21,A10)))*((O10-'Tela de entrada'!$G$23)/(IF(SUMIFS($O$2:$O$21,$B$2:$B$21,B10,$A$2:$A$21,A10)-('Tela de entrada'!$G$23*20)=0,1,SUMIFS($O$2:$O$21,$B$2:$B$21,B10,$A$2:$A$21,A10)-('Tela de entrada'!$G$23*20))))</f>
        <v>0</v>
      </c>
      <c r="Q10" s="1">
        <f>MAX(0,(SUMIFS($N$2:$N$21,$B$2:$B$21,B10,$A$2:$A$21,A10)-SUMIFS($O$2:$O$21,$B$2:$B$21,B10,$A$2:$A$21,A10)))*(('Tela de entrada'!$G$24-O10)/(IF((('Tela de entrada'!$G$24*20)-SUMIFS($O$2:$O$21,$B$2:$B$21,B10,$A$2:$A$21,A10))=0,1,(('Tela de entrada'!$G$24*20)-SUMIFS($O$2:$O$21,$B$2:$B$21,B10,$A$2:$A$21,A10)))))</f>
        <v>0</v>
      </c>
      <c r="R10" s="1">
        <f t="shared" si="4"/>
        <v>10</v>
      </c>
      <c r="T10" s="2"/>
      <c r="AA10">
        <v>9</v>
      </c>
      <c r="AB10">
        <f t="shared" si="0"/>
        <v>50</v>
      </c>
      <c r="AC10">
        <v>45</v>
      </c>
      <c r="AD10" s="5">
        <f t="shared" si="1"/>
        <v>10</v>
      </c>
      <c r="AE10">
        <f>'Tela de entrada'!$G$24</f>
        <v>50</v>
      </c>
      <c r="AF10">
        <f>'Tela de entrada'!$G$23</f>
        <v>0</v>
      </c>
      <c r="AG10" s="5">
        <f t="shared" si="5"/>
        <v>10</v>
      </c>
      <c r="AH10" s="5">
        <f t="shared" si="6"/>
        <v>55</v>
      </c>
    </row>
    <row r="11" spans="1:41" x14ac:dyDescent="0.25">
      <c r="A11">
        <v>1</v>
      </c>
      <c r="B11">
        <v>1</v>
      </c>
      <c r="C11">
        <v>1</v>
      </c>
      <c r="D11">
        <v>10</v>
      </c>
      <c r="E11">
        <v>1</v>
      </c>
      <c r="F11" s="1">
        <f>INDEX('Tela de entrada'!$C$13:$C$32,MATCH('Contrato Flexível Percentual'!D11,'Tela de entrada'!$B$13:$B$32,0),1)</f>
        <v>60</v>
      </c>
      <c r="G11">
        <v>0</v>
      </c>
      <c r="H11">
        <f t="shared" si="2"/>
        <v>60</v>
      </c>
      <c r="M11" s="1">
        <f t="shared" si="3"/>
        <v>7.4999999999999997E-2</v>
      </c>
      <c r="N11" s="1">
        <f>IF('Tela de entrada'!$G$22="carga",$L$2*M11,'Contrato Flexível Percentual'!$L$2/20)</f>
        <v>12</v>
      </c>
      <c r="O11" s="1">
        <f>IFERROR(MIN('Tela de entrada'!$G$24,MAX(N11,'Tela de entrada'!$G$23)),"")</f>
        <v>12</v>
      </c>
      <c r="P11" s="1">
        <f>MAX(0,(SUMIFS($O$2:$O$21,$B$2:$B$21,B11,$A$2:$A$21,A11)-SUMIFS($N$2:$N$21,$B$2:$B$21,B11,$A$2:$A$21,A11)))*((O11-'Tela de entrada'!$G$23)/(IF(SUMIFS($O$2:$O$21,$B$2:$B$21,B11,$A$2:$A$21,A11)-('Tela de entrada'!$G$23*20)=0,1,SUMIFS($O$2:$O$21,$B$2:$B$21,B11,$A$2:$A$21,A11)-('Tela de entrada'!$G$23*20))))</f>
        <v>0</v>
      </c>
      <c r="Q11" s="1">
        <f>MAX(0,(SUMIFS($N$2:$N$21,$B$2:$B$21,B11,$A$2:$A$21,A11)-SUMIFS($O$2:$O$21,$B$2:$B$21,B11,$A$2:$A$21,A11)))*(('Tela de entrada'!$G$24-O11)/(IF((('Tela de entrada'!$G$24*20)-SUMIFS($O$2:$O$21,$B$2:$B$21,B11,$A$2:$A$21,A11))=0,1,(('Tela de entrada'!$G$24*20)-SUMIFS($O$2:$O$21,$B$2:$B$21,B11,$A$2:$A$21,A11)))))</f>
        <v>0</v>
      </c>
      <c r="R11" s="1">
        <f t="shared" si="4"/>
        <v>12</v>
      </c>
      <c r="T11" s="2"/>
      <c r="AA11">
        <v>10</v>
      </c>
      <c r="AB11">
        <f t="shared" si="0"/>
        <v>60</v>
      </c>
      <c r="AC11">
        <v>45</v>
      </c>
      <c r="AD11" s="5">
        <f t="shared" si="1"/>
        <v>12</v>
      </c>
      <c r="AE11">
        <f>'Tela de entrada'!$G$24</f>
        <v>50</v>
      </c>
      <c r="AF11">
        <f>'Tela de entrada'!$G$23</f>
        <v>0</v>
      </c>
      <c r="AG11" s="5">
        <f t="shared" si="5"/>
        <v>12</v>
      </c>
      <c r="AH11" s="5">
        <f t="shared" si="6"/>
        <v>57</v>
      </c>
    </row>
    <row r="12" spans="1:41" x14ac:dyDescent="0.25">
      <c r="A12">
        <v>1</v>
      </c>
      <c r="B12">
        <v>1</v>
      </c>
      <c r="C12">
        <v>1</v>
      </c>
      <c r="D12">
        <v>11</v>
      </c>
      <c r="E12">
        <v>1</v>
      </c>
      <c r="F12" s="1">
        <f>INDEX('Tela de entrada'!$C$13:$C$32,MATCH('Contrato Flexível Percentual'!D12,'Tela de entrada'!$B$13:$B$32,0),1)</f>
        <v>65</v>
      </c>
      <c r="G12">
        <v>0</v>
      </c>
      <c r="H12">
        <f t="shared" si="2"/>
        <v>65</v>
      </c>
      <c r="M12" s="1">
        <f t="shared" si="3"/>
        <v>8.1250000000000003E-2</v>
      </c>
      <c r="N12" s="1">
        <f>IF('Tela de entrada'!$G$22="carga",$L$2*M12,'Contrato Flexível Percentual'!$L$2/20)</f>
        <v>13</v>
      </c>
      <c r="O12" s="1">
        <f>IFERROR(MIN('Tela de entrada'!$G$24,MAX(N12,'Tela de entrada'!$G$23)),"")</f>
        <v>13</v>
      </c>
      <c r="P12" s="1">
        <f>MAX(0,(SUMIFS($O$2:$O$21,$B$2:$B$21,B12,$A$2:$A$21,A12)-SUMIFS($N$2:$N$21,$B$2:$B$21,B12,$A$2:$A$21,A12)))*((O12-'Tela de entrada'!$G$23)/(IF(SUMIFS($O$2:$O$21,$B$2:$B$21,B12,$A$2:$A$21,A12)-('Tela de entrada'!$G$23*20)=0,1,SUMIFS($O$2:$O$21,$B$2:$B$21,B12,$A$2:$A$21,A12)-('Tela de entrada'!$G$23*20))))</f>
        <v>0</v>
      </c>
      <c r="Q12" s="1">
        <f>MAX(0,(SUMIFS($N$2:$N$21,$B$2:$B$21,B12,$A$2:$A$21,A12)-SUMIFS($O$2:$O$21,$B$2:$B$21,B12,$A$2:$A$21,A12)))*(('Tela de entrada'!$G$24-O12)/(IF((('Tela de entrada'!$G$24*20)-SUMIFS($O$2:$O$21,$B$2:$B$21,B12,$A$2:$A$21,A12))=0,1,(('Tela de entrada'!$G$24*20)-SUMIFS($O$2:$O$21,$B$2:$B$21,B12,$A$2:$A$21,A12)))))</f>
        <v>0</v>
      </c>
      <c r="R12" s="1">
        <f t="shared" si="4"/>
        <v>13</v>
      </c>
      <c r="T12" s="2"/>
      <c r="AA12">
        <v>11</v>
      </c>
      <c r="AB12">
        <f t="shared" si="0"/>
        <v>65</v>
      </c>
      <c r="AC12">
        <v>45</v>
      </c>
      <c r="AD12" s="5">
        <f t="shared" si="1"/>
        <v>13</v>
      </c>
      <c r="AE12">
        <f>'Tela de entrada'!$G$24</f>
        <v>50</v>
      </c>
      <c r="AF12">
        <f>'Tela de entrada'!$G$23</f>
        <v>0</v>
      </c>
      <c r="AG12" s="5">
        <f t="shared" si="5"/>
        <v>13</v>
      </c>
      <c r="AH12" s="5">
        <f t="shared" si="6"/>
        <v>58</v>
      </c>
    </row>
    <row r="13" spans="1:41" x14ac:dyDescent="0.25">
      <c r="A13">
        <v>1</v>
      </c>
      <c r="B13">
        <v>1</v>
      </c>
      <c r="C13">
        <v>1</v>
      </c>
      <c r="D13">
        <v>12</v>
      </c>
      <c r="E13">
        <v>1</v>
      </c>
      <c r="F13" s="1">
        <f>INDEX('Tela de entrada'!$C$13:$C$32,MATCH('Contrato Flexível Percentual'!D13,'Tela de entrada'!$B$13:$B$32,0),1)</f>
        <v>60</v>
      </c>
      <c r="G13">
        <v>0</v>
      </c>
      <c r="H13">
        <f t="shared" si="2"/>
        <v>60</v>
      </c>
      <c r="M13" s="1">
        <f t="shared" si="3"/>
        <v>7.4999999999999997E-2</v>
      </c>
      <c r="N13" s="1">
        <f>IF('Tela de entrada'!$G$22="carga",$L$2*M13,'Contrato Flexível Percentual'!$L$2/20)</f>
        <v>12</v>
      </c>
      <c r="O13" s="1">
        <f>IFERROR(MIN('Tela de entrada'!$G$24,MAX(N13,'Tela de entrada'!$G$23)),"")</f>
        <v>12</v>
      </c>
      <c r="P13" s="1">
        <f>MAX(0,(SUMIFS($O$2:$O$21,$B$2:$B$21,B13,$A$2:$A$21,A13)-SUMIFS($N$2:$N$21,$B$2:$B$21,B13,$A$2:$A$21,A13)))*((O13-'Tela de entrada'!$G$23)/(IF(SUMIFS($O$2:$O$21,$B$2:$B$21,B13,$A$2:$A$21,A13)-('Tela de entrada'!$G$23*20)=0,1,SUMIFS($O$2:$O$21,$B$2:$B$21,B13,$A$2:$A$21,A13)-('Tela de entrada'!$G$23*20))))</f>
        <v>0</v>
      </c>
      <c r="Q13" s="1">
        <f>MAX(0,(SUMIFS($N$2:$N$21,$B$2:$B$21,B13,$A$2:$A$21,A13)-SUMIFS($O$2:$O$21,$B$2:$B$21,B13,$A$2:$A$21,A13)))*(('Tela de entrada'!$G$24-O13)/(IF((('Tela de entrada'!$G$24*20)-SUMIFS($O$2:$O$21,$B$2:$B$21,B13,$A$2:$A$21,A13))=0,1,(('Tela de entrada'!$G$24*20)-SUMIFS($O$2:$O$21,$B$2:$B$21,B13,$A$2:$A$21,A13)))))</f>
        <v>0</v>
      </c>
      <c r="R13" s="1">
        <f t="shared" si="4"/>
        <v>12</v>
      </c>
      <c r="T13" s="2"/>
      <c r="AA13">
        <v>12</v>
      </c>
      <c r="AB13">
        <f t="shared" si="0"/>
        <v>60</v>
      </c>
      <c r="AC13">
        <v>45</v>
      </c>
      <c r="AD13" s="5">
        <f t="shared" si="1"/>
        <v>12</v>
      </c>
      <c r="AE13">
        <f>'Tela de entrada'!$G$24</f>
        <v>50</v>
      </c>
      <c r="AF13">
        <f>'Tela de entrada'!$G$23</f>
        <v>0</v>
      </c>
      <c r="AG13" s="5">
        <f t="shared" si="5"/>
        <v>12</v>
      </c>
      <c r="AH13" s="5">
        <f t="shared" si="6"/>
        <v>57</v>
      </c>
      <c r="AO13">
        <f>AO9/20</f>
        <v>13.5</v>
      </c>
    </row>
    <row r="14" spans="1:41" x14ac:dyDescent="0.25">
      <c r="A14">
        <v>1</v>
      </c>
      <c r="B14">
        <v>1</v>
      </c>
      <c r="C14">
        <v>1</v>
      </c>
      <c r="D14">
        <v>13</v>
      </c>
      <c r="E14">
        <v>1</v>
      </c>
      <c r="F14" s="1">
        <f>INDEX('Tela de entrada'!$C$13:$C$32,MATCH('Contrato Flexível Percentual'!D14,'Tela de entrada'!$B$13:$B$32,0),1)</f>
        <v>55</v>
      </c>
      <c r="G14">
        <v>0</v>
      </c>
      <c r="H14">
        <f t="shared" si="2"/>
        <v>55</v>
      </c>
      <c r="M14" s="1">
        <f t="shared" si="3"/>
        <v>6.8750000000000006E-2</v>
      </c>
      <c r="N14" s="1">
        <f>IF('Tela de entrada'!$G$22="carga",$L$2*M14,'Contrato Flexível Percentual'!$L$2/20)</f>
        <v>11</v>
      </c>
      <c r="O14" s="1">
        <f>IFERROR(MIN('Tela de entrada'!$G$24,MAX(N14,'Tela de entrada'!$G$23)),"")</f>
        <v>11</v>
      </c>
      <c r="P14" s="1">
        <f>MAX(0,(SUMIFS($O$2:$O$21,$B$2:$B$21,B14,$A$2:$A$21,A14)-SUMIFS($N$2:$N$21,$B$2:$B$21,B14,$A$2:$A$21,A14)))*((O14-'Tela de entrada'!$G$23)/(IF(SUMIFS($O$2:$O$21,$B$2:$B$21,B14,$A$2:$A$21,A14)-('Tela de entrada'!$G$23*20)=0,1,SUMIFS($O$2:$O$21,$B$2:$B$21,B14,$A$2:$A$21,A14)-('Tela de entrada'!$G$23*20))))</f>
        <v>0</v>
      </c>
      <c r="Q14" s="1">
        <f>MAX(0,(SUMIFS($N$2:$N$21,$B$2:$B$21,B14,$A$2:$A$21,A14)-SUMIFS($O$2:$O$21,$B$2:$B$21,B14,$A$2:$A$21,A14)))*(('Tela de entrada'!$G$24-O14)/(IF((('Tela de entrada'!$G$24*20)-SUMIFS($O$2:$O$21,$B$2:$B$21,B14,$A$2:$A$21,A14))=0,1,(('Tela de entrada'!$G$24*20)-SUMIFS($O$2:$O$21,$B$2:$B$21,B14,$A$2:$A$21,A14)))))</f>
        <v>0</v>
      </c>
      <c r="R14" s="1">
        <f t="shared" si="4"/>
        <v>11</v>
      </c>
      <c r="T14" s="2"/>
      <c r="AA14">
        <v>13</v>
      </c>
      <c r="AB14">
        <f t="shared" si="0"/>
        <v>55</v>
      </c>
      <c r="AC14">
        <v>45</v>
      </c>
      <c r="AD14" s="5">
        <f t="shared" si="1"/>
        <v>11</v>
      </c>
      <c r="AE14">
        <f>'Tela de entrada'!$G$24</f>
        <v>50</v>
      </c>
      <c r="AF14">
        <f>'Tela de entrada'!$G$23</f>
        <v>0</v>
      </c>
      <c r="AG14" s="5">
        <f t="shared" si="5"/>
        <v>11</v>
      </c>
      <c r="AH14" s="5">
        <f t="shared" si="6"/>
        <v>56</v>
      </c>
    </row>
    <row r="15" spans="1:41" x14ac:dyDescent="0.25">
      <c r="A15">
        <v>1</v>
      </c>
      <c r="B15">
        <v>1</v>
      </c>
      <c r="C15">
        <v>1</v>
      </c>
      <c r="D15">
        <v>14</v>
      </c>
      <c r="E15">
        <v>1</v>
      </c>
      <c r="F15" s="1">
        <f>INDEX('Tela de entrada'!$C$13:$C$32,MATCH('Contrato Flexível Percentual'!D15,'Tela de entrada'!$B$13:$B$32,0),1)</f>
        <v>60</v>
      </c>
      <c r="G15">
        <v>0</v>
      </c>
      <c r="H15">
        <f t="shared" si="2"/>
        <v>60</v>
      </c>
      <c r="M15" s="1">
        <f t="shared" si="3"/>
        <v>7.4999999999999997E-2</v>
      </c>
      <c r="N15" s="1">
        <f>IF('Tela de entrada'!$G$22="carga",$L$2*M15,'Contrato Flexível Percentual'!$L$2/20)</f>
        <v>12</v>
      </c>
      <c r="O15" s="1">
        <f>IFERROR(MIN('Tela de entrada'!$G$24,MAX(N15,'Tela de entrada'!$G$23)),"")</f>
        <v>12</v>
      </c>
      <c r="P15" s="1">
        <f>MAX(0,(SUMIFS($O$2:$O$21,$B$2:$B$21,B15,$A$2:$A$21,A15)-SUMIFS($N$2:$N$21,$B$2:$B$21,B15,$A$2:$A$21,A15)))*((O15-'Tela de entrada'!$G$23)/(IF(SUMIFS($O$2:$O$21,$B$2:$B$21,B15,$A$2:$A$21,A15)-('Tela de entrada'!$G$23*20)=0,1,SUMIFS($O$2:$O$21,$B$2:$B$21,B15,$A$2:$A$21,A15)-('Tela de entrada'!$G$23*20))))</f>
        <v>0</v>
      </c>
      <c r="Q15" s="1">
        <f>MAX(0,(SUMIFS($N$2:$N$21,$B$2:$B$21,B15,$A$2:$A$21,A15)-SUMIFS($O$2:$O$21,$B$2:$B$21,B15,$A$2:$A$21,A15)))*(('Tela de entrada'!$G$24-O15)/(IF((('Tela de entrada'!$G$24*20)-SUMIFS($O$2:$O$21,$B$2:$B$21,B15,$A$2:$A$21,A15))=0,1,(('Tela de entrada'!$G$24*20)-SUMIFS($O$2:$O$21,$B$2:$B$21,B15,$A$2:$A$21,A15)))))</f>
        <v>0</v>
      </c>
      <c r="R15" s="1">
        <f t="shared" si="4"/>
        <v>12</v>
      </c>
      <c r="T15" s="2"/>
      <c r="AA15">
        <v>14</v>
      </c>
      <c r="AB15">
        <f t="shared" si="0"/>
        <v>60</v>
      </c>
      <c r="AC15">
        <v>45</v>
      </c>
      <c r="AD15" s="5">
        <f t="shared" si="1"/>
        <v>12</v>
      </c>
      <c r="AE15">
        <f>'Tela de entrada'!$G$24</f>
        <v>50</v>
      </c>
      <c r="AF15">
        <f>'Tela de entrada'!$G$23</f>
        <v>0</v>
      </c>
      <c r="AG15" s="5">
        <f t="shared" si="5"/>
        <v>12</v>
      </c>
      <c r="AH15" s="5">
        <f t="shared" si="6"/>
        <v>57</v>
      </c>
    </row>
    <row r="16" spans="1:41" x14ac:dyDescent="0.25">
      <c r="A16">
        <v>1</v>
      </c>
      <c r="B16">
        <v>1</v>
      </c>
      <c r="C16">
        <v>1</v>
      </c>
      <c r="D16">
        <v>15</v>
      </c>
      <c r="E16">
        <v>1</v>
      </c>
      <c r="F16" s="1">
        <f>INDEX('Tela de entrada'!$C$13:$C$32,MATCH('Contrato Flexível Percentual'!D16,'Tela de entrada'!$B$13:$B$32,0),1)</f>
        <v>60</v>
      </c>
      <c r="G16">
        <v>0</v>
      </c>
      <c r="H16">
        <f t="shared" si="2"/>
        <v>60</v>
      </c>
      <c r="M16" s="1">
        <f t="shared" si="3"/>
        <v>7.4999999999999997E-2</v>
      </c>
      <c r="N16" s="1">
        <f>IF('Tela de entrada'!$G$22="carga",$L$2*M16,'Contrato Flexível Percentual'!$L$2/20)</f>
        <v>12</v>
      </c>
      <c r="O16" s="1">
        <f>IFERROR(MIN('Tela de entrada'!$G$24,MAX(N16,'Tela de entrada'!$G$23)),"")</f>
        <v>12</v>
      </c>
      <c r="P16" s="1">
        <f>MAX(0,(SUMIFS($O$2:$O$21,$B$2:$B$21,B16,$A$2:$A$21,A16)-SUMIFS($N$2:$N$21,$B$2:$B$21,B16,$A$2:$A$21,A16)))*((O16-'Tela de entrada'!$G$23)/(IF(SUMIFS($O$2:$O$21,$B$2:$B$21,B16,$A$2:$A$21,A16)-('Tela de entrada'!$G$23*20)=0,1,SUMIFS($O$2:$O$21,$B$2:$B$21,B16,$A$2:$A$21,A16)-('Tela de entrada'!$G$23*20))))</f>
        <v>0</v>
      </c>
      <c r="Q16" s="1">
        <f>MAX(0,(SUMIFS($N$2:$N$21,$B$2:$B$21,B16,$A$2:$A$21,A16)-SUMIFS($O$2:$O$21,$B$2:$B$21,B16,$A$2:$A$21,A16)))*(('Tela de entrada'!$G$24-O16)/(IF((('Tela de entrada'!$G$24*20)-SUMIFS($O$2:$O$21,$B$2:$B$21,B16,$A$2:$A$21,A16))=0,1,(('Tela de entrada'!$G$24*20)-SUMIFS($O$2:$O$21,$B$2:$B$21,B16,$A$2:$A$21,A16)))))</f>
        <v>0</v>
      </c>
      <c r="R16" s="1">
        <f t="shared" si="4"/>
        <v>12</v>
      </c>
      <c r="T16" s="2"/>
      <c r="AA16">
        <v>15</v>
      </c>
      <c r="AB16">
        <f t="shared" si="0"/>
        <v>60</v>
      </c>
      <c r="AC16">
        <v>45</v>
      </c>
      <c r="AD16" s="5">
        <f t="shared" si="1"/>
        <v>12</v>
      </c>
      <c r="AE16">
        <f>'Tela de entrada'!$G$24</f>
        <v>50</v>
      </c>
      <c r="AF16">
        <f>'Tela de entrada'!$G$23</f>
        <v>0</v>
      </c>
      <c r="AG16" s="5">
        <f t="shared" si="5"/>
        <v>12</v>
      </c>
      <c r="AH16" s="5">
        <f t="shared" si="6"/>
        <v>57</v>
      </c>
    </row>
    <row r="17" spans="1:34" x14ac:dyDescent="0.25">
      <c r="A17">
        <v>1</v>
      </c>
      <c r="B17">
        <v>1</v>
      </c>
      <c r="C17">
        <v>1</v>
      </c>
      <c r="D17">
        <v>16</v>
      </c>
      <c r="E17">
        <v>1</v>
      </c>
      <c r="F17" s="1">
        <f>INDEX('Tela de entrada'!$C$13:$C$32,MATCH('Contrato Flexível Percentual'!D17,'Tela de entrada'!$B$13:$B$32,0),1)</f>
        <v>50</v>
      </c>
      <c r="G17">
        <v>0</v>
      </c>
      <c r="H17">
        <f t="shared" si="2"/>
        <v>50</v>
      </c>
      <c r="M17" s="1">
        <f t="shared" si="3"/>
        <v>6.25E-2</v>
      </c>
      <c r="N17" s="1">
        <f>IF('Tela de entrada'!$G$22="carga",$L$2*M17,'Contrato Flexível Percentual'!$L$2/20)</f>
        <v>10</v>
      </c>
      <c r="O17" s="1">
        <f>IFERROR(MIN('Tela de entrada'!$G$24,MAX(N17,'Tela de entrada'!$G$23)),"")</f>
        <v>10</v>
      </c>
      <c r="P17" s="1">
        <f>MAX(0,(SUMIFS($O$2:$O$21,$B$2:$B$21,B17,$A$2:$A$21,A17)-SUMIFS($N$2:$N$21,$B$2:$B$21,B17,$A$2:$A$21,A17)))*((O17-'Tela de entrada'!$G$23)/(IF(SUMIFS($O$2:$O$21,$B$2:$B$21,B17,$A$2:$A$21,A17)-('Tela de entrada'!$G$23*20)=0,1,SUMIFS($O$2:$O$21,$B$2:$B$21,B17,$A$2:$A$21,A17)-('Tela de entrada'!$G$23*20))))</f>
        <v>0</v>
      </c>
      <c r="Q17" s="1">
        <f>MAX(0,(SUMIFS($N$2:$N$21,$B$2:$B$21,B17,$A$2:$A$21,A17)-SUMIFS($O$2:$O$21,$B$2:$B$21,B17,$A$2:$A$21,A17)))*(('Tela de entrada'!$G$24-O17)/(IF((('Tela de entrada'!$G$24*20)-SUMIFS($O$2:$O$21,$B$2:$B$21,B17,$A$2:$A$21,A17))=0,1,(('Tela de entrada'!$G$24*20)-SUMIFS($O$2:$O$21,$B$2:$B$21,B17,$A$2:$A$21,A17)))))</f>
        <v>0</v>
      </c>
      <c r="R17" s="1">
        <f t="shared" si="4"/>
        <v>10</v>
      </c>
      <c r="T17" s="2"/>
      <c r="AA17">
        <v>16</v>
      </c>
      <c r="AB17">
        <f t="shared" si="0"/>
        <v>50</v>
      </c>
      <c r="AC17">
        <v>45</v>
      </c>
      <c r="AD17" s="5">
        <f t="shared" si="1"/>
        <v>10</v>
      </c>
      <c r="AE17">
        <f>'Tela de entrada'!$G$24</f>
        <v>50</v>
      </c>
      <c r="AF17">
        <f>'Tela de entrada'!$G$23</f>
        <v>0</v>
      </c>
      <c r="AG17" s="5">
        <f t="shared" si="5"/>
        <v>10</v>
      </c>
      <c r="AH17" s="5">
        <f t="shared" si="6"/>
        <v>55</v>
      </c>
    </row>
    <row r="18" spans="1:34" x14ac:dyDescent="0.25">
      <c r="A18">
        <v>1</v>
      </c>
      <c r="B18">
        <v>1</v>
      </c>
      <c r="C18">
        <v>1</v>
      </c>
      <c r="D18">
        <v>17</v>
      </c>
      <c r="E18">
        <v>1</v>
      </c>
      <c r="F18" s="1">
        <f>INDEX('Tela de entrada'!$C$13:$C$32,MATCH('Contrato Flexível Percentual'!D18,'Tela de entrada'!$B$13:$B$32,0),1)</f>
        <v>45</v>
      </c>
      <c r="G18">
        <v>0</v>
      </c>
      <c r="H18">
        <f t="shared" si="2"/>
        <v>45</v>
      </c>
      <c r="M18" s="1">
        <f t="shared" si="3"/>
        <v>5.6250000000000001E-2</v>
      </c>
      <c r="N18" s="1">
        <f>IF('Tela de entrada'!$G$22="carga",$L$2*M18,'Contrato Flexível Percentual'!$L$2/20)</f>
        <v>9</v>
      </c>
      <c r="O18" s="1">
        <f>IFERROR(MIN('Tela de entrada'!$G$24,MAX(N18,'Tela de entrada'!$G$23)),"")</f>
        <v>9</v>
      </c>
      <c r="P18" s="1">
        <f>MAX(0,(SUMIFS($O$2:$O$21,$B$2:$B$21,B18,$A$2:$A$21,A18)-SUMIFS($N$2:$N$21,$B$2:$B$21,B18,$A$2:$A$21,A18)))*((O18-'Tela de entrada'!$G$23)/(IF(SUMIFS($O$2:$O$21,$B$2:$B$21,B18,$A$2:$A$21,A18)-('Tela de entrada'!$G$23*20)=0,1,SUMIFS($O$2:$O$21,$B$2:$B$21,B18,$A$2:$A$21,A18)-('Tela de entrada'!$G$23*20))))</f>
        <v>0</v>
      </c>
      <c r="Q18" s="1">
        <f>MAX(0,(SUMIFS($N$2:$N$21,$B$2:$B$21,B18,$A$2:$A$21,A18)-SUMIFS($O$2:$O$21,$B$2:$B$21,B18,$A$2:$A$21,A18)))*(('Tela de entrada'!$G$24-O18)/(IF((('Tela de entrada'!$G$24*20)-SUMIFS($O$2:$O$21,$B$2:$B$21,B18,$A$2:$A$21,A18))=0,1,(('Tela de entrada'!$G$24*20)-SUMIFS($O$2:$O$21,$B$2:$B$21,B18,$A$2:$A$21,A18)))))</f>
        <v>0</v>
      </c>
      <c r="R18" s="1">
        <f t="shared" si="4"/>
        <v>9</v>
      </c>
      <c r="T18" s="2"/>
      <c r="AA18">
        <v>17</v>
      </c>
      <c r="AB18">
        <f t="shared" si="0"/>
        <v>45</v>
      </c>
      <c r="AC18">
        <v>40</v>
      </c>
      <c r="AD18" s="5">
        <f t="shared" si="1"/>
        <v>9</v>
      </c>
      <c r="AE18">
        <f>'Tela de entrada'!$G$24</f>
        <v>50</v>
      </c>
      <c r="AF18">
        <f>'Tela de entrada'!$G$23</f>
        <v>0</v>
      </c>
      <c r="AG18" s="5">
        <f t="shared" si="5"/>
        <v>9</v>
      </c>
      <c r="AH18" s="5">
        <f t="shared" si="6"/>
        <v>49</v>
      </c>
    </row>
    <row r="19" spans="1:34" x14ac:dyDescent="0.25">
      <c r="A19">
        <v>1</v>
      </c>
      <c r="B19">
        <v>1</v>
      </c>
      <c r="C19">
        <v>1</v>
      </c>
      <c r="D19">
        <v>18</v>
      </c>
      <c r="E19">
        <v>1</v>
      </c>
      <c r="F19" s="1">
        <f>INDEX('Tela de entrada'!$C$13:$C$32,MATCH('Contrato Flexível Percentual'!D19,'Tela de entrada'!$B$13:$B$32,0),1)</f>
        <v>40</v>
      </c>
      <c r="G19">
        <v>0</v>
      </c>
      <c r="H19">
        <f t="shared" si="2"/>
        <v>40</v>
      </c>
      <c r="M19" s="1">
        <f t="shared" si="3"/>
        <v>0.05</v>
      </c>
      <c r="N19" s="1">
        <f>IF('Tela de entrada'!$G$22="carga",$L$2*M19,'Contrato Flexível Percentual'!$L$2/20)</f>
        <v>8</v>
      </c>
      <c r="O19" s="1">
        <f>IFERROR(MIN('Tela de entrada'!$G$24,MAX(N19,'Tela de entrada'!$G$23)),"")</f>
        <v>8</v>
      </c>
      <c r="P19" s="1">
        <f>MAX(0,(SUMIFS($O$2:$O$21,$B$2:$B$21,B19,$A$2:$A$21,A19)-SUMIFS($N$2:$N$21,$B$2:$B$21,B19,$A$2:$A$21,A19)))*((O19-'Tela de entrada'!$G$23)/(IF(SUMIFS($O$2:$O$21,$B$2:$B$21,B19,$A$2:$A$21,A19)-('Tela de entrada'!$G$23*20)=0,1,SUMIFS($O$2:$O$21,$B$2:$B$21,B19,$A$2:$A$21,A19)-('Tela de entrada'!$G$23*20))))</f>
        <v>0</v>
      </c>
      <c r="Q19" s="1">
        <f>MAX(0,(SUMIFS($N$2:$N$21,$B$2:$B$21,B19,$A$2:$A$21,A19)-SUMIFS($O$2:$O$21,$B$2:$B$21,B19,$A$2:$A$21,A19)))*(('Tela de entrada'!$G$24-O19)/(IF((('Tela de entrada'!$G$24*20)-SUMIFS($O$2:$O$21,$B$2:$B$21,B19,$A$2:$A$21,A19))=0,1,(('Tela de entrada'!$G$24*20)-SUMIFS($O$2:$O$21,$B$2:$B$21,B19,$A$2:$A$21,A19)))))</f>
        <v>0</v>
      </c>
      <c r="R19" s="1">
        <f t="shared" si="4"/>
        <v>8</v>
      </c>
      <c r="T19" s="2"/>
      <c r="AA19">
        <v>18</v>
      </c>
      <c r="AB19">
        <f t="shared" si="0"/>
        <v>40</v>
      </c>
      <c r="AC19">
        <v>40</v>
      </c>
      <c r="AD19" s="5">
        <f t="shared" si="1"/>
        <v>8</v>
      </c>
      <c r="AE19">
        <f>'Tela de entrada'!$G$24</f>
        <v>50</v>
      </c>
      <c r="AF19">
        <f>'Tela de entrada'!$G$23</f>
        <v>0</v>
      </c>
      <c r="AG19" s="5">
        <f t="shared" si="5"/>
        <v>8</v>
      </c>
      <c r="AH19" s="5">
        <f t="shared" si="6"/>
        <v>48</v>
      </c>
    </row>
    <row r="20" spans="1:34" x14ac:dyDescent="0.25">
      <c r="A20">
        <v>1</v>
      </c>
      <c r="B20">
        <v>1</v>
      </c>
      <c r="C20">
        <v>1</v>
      </c>
      <c r="D20">
        <v>19</v>
      </c>
      <c r="E20">
        <v>1</v>
      </c>
      <c r="F20" s="1">
        <f>INDEX('Tela de entrada'!$C$13:$C$32,MATCH('Contrato Flexível Percentual'!D20,'Tela de entrada'!$B$13:$B$32,0),1)</f>
        <v>30</v>
      </c>
      <c r="G20">
        <v>0</v>
      </c>
      <c r="H20">
        <f t="shared" si="2"/>
        <v>30</v>
      </c>
      <c r="M20" s="1">
        <f t="shared" si="3"/>
        <v>3.7499999999999999E-2</v>
      </c>
      <c r="N20" s="1">
        <f>IF('Tela de entrada'!$G$22="carga",$L$2*M20,'Contrato Flexível Percentual'!$L$2/20)</f>
        <v>6</v>
      </c>
      <c r="O20" s="1">
        <f>IFERROR(MIN('Tela de entrada'!$G$24,MAX(N20,'Tela de entrada'!$G$23)),"")</f>
        <v>6</v>
      </c>
      <c r="P20" s="1">
        <f>MAX(0,(SUMIFS($O$2:$O$21,$B$2:$B$21,B20,$A$2:$A$21,A20)-SUMIFS($N$2:$N$21,$B$2:$B$21,B20,$A$2:$A$21,A20)))*((O20-'Tela de entrada'!$G$23)/(IF(SUMIFS($O$2:$O$21,$B$2:$B$21,B20,$A$2:$A$21,A20)-('Tela de entrada'!$G$23*20)=0,1,SUMIFS($O$2:$O$21,$B$2:$B$21,B20,$A$2:$A$21,A20)-('Tela de entrada'!$G$23*20))))</f>
        <v>0</v>
      </c>
      <c r="Q20" s="1">
        <f>MAX(0,(SUMIFS($N$2:$N$21,$B$2:$B$21,B20,$A$2:$A$21,A20)-SUMIFS($O$2:$O$21,$B$2:$B$21,B20,$A$2:$A$21,A20)))*(('Tela de entrada'!$G$24-O20)/(IF((('Tela de entrada'!$G$24*20)-SUMIFS($O$2:$O$21,$B$2:$B$21,B20,$A$2:$A$21,A20))=0,1,(('Tela de entrada'!$G$24*20)-SUMIFS($O$2:$O$21,$B$2:$B$21,B20,$A$2:$A$21,A20)))))</f>
        <v>0</v>
      </c>
      <c r="R20" s="1">
        <f t="shared" si="4"/>
        <v>6</v>
      </c>
      <c r="T20" s="2"/>
      <c r="AA20">
        <v>19</v>
      </c>
      <c r="AB20">
        <f t="shared" si="0"/>
        <v>30</v>
      </c>
      <c r="AC20">
        <v>25</v>
      </c>
      <c r="AD20" s="5">
        <f t="shared" si="1"/>
        <v>6</v>
      </c>
      <c r="AE20">
        <f>'Tela de entrada'!$G$24</f>
        <v>50</v>
      </c>
      <c r="AF20">
        <f>'Tela de entrada'!$G$23</f>
        <v>0</v>
      </c>
      <c r="AG20" s="5">
        <f t="shared" si="5"/>
        <v>6</v>
      </c>
      <c r="AH20" s="5">
        <f t="shared" si="6"/>
        <v>31</v>
      </c>
    </row>
    <row r="21" spans="1:34" x14ac:dyDescent="0.25">
      <c r="A21">
        <v>1</v>
      </c>
      <c r="B21">
        <v>1</v>
      </c>
      <c r="C21">
        <v>1</v>
      </c>
      <c r="D21">
        <v>20</v>
      </c>
      <c r="E21">
        <v>1</v>
      </c>
      <c r="F21" s="1">
        <f>INDEX('Tela de entrada'!$C$13:$C$32,MATCH('Contrato Flexível Percentual'!D21,'Tela de entrada'!$B$13:$B$32,0),1)</f>
        <v>25</v>
      </c>
      <c r="G21">
        <v>0</v>
      </c>
      <c r="H21">
        <f t="shared" si="2"/>
        <v>25</v>
      </c>
      <c r="M21" s="1">
        <f t="shared" si="3"/>
        <v>3.125E-2</v>
      </c>
      <c r="N21" s="1">
        <f>IF('Tela de entrada'!$G$22="carga",$L$2*M21,'Contrato Flexível Percentual'!$L$2/20)</f>
        <v>5</v>
      </c>
      <c r="O21" s="1">
        <f>IFERROR(MIN('Tela de entrada'!$G$24,MAX(N21,'Tela de entrada'!$G$23)),"")</f>
        <v>5</v>
      </c>
      <c r="P21" s="1">
        <f>MAX(0,(SUMIFS($O$2:$O$21,$B$2:$B$21,B21,$A$2:$A$21,A21)-SUMIFS($N$2:$N$21,$B$2:$B$21,B21,$A$2:$A$21,A21)))*((O21-'Tela de entrada'!$G$23)/(IF(SUMIFS($O$2:$O$21,$B$2:$B$21,B21,$A$2:$A$21,A21)-('Tela de entrada'!$G$23*20)=0,1,SUMIFS($O$2:$O$21,$B$2:$B$21,B21,$A$2:$A$21,A21)-('Tela de entrada'!$G$23*20))))</f>
        <v>0</v>
      </c>
      <c r="Q21" s="1">
        <f>MAX(0,(SUMIFS($N$2:$N$21,$B$2:$B$21,B21,$A$2:$A$21,A21)-SUMIFS($O$2:$O$21,$B$2:$B$21,B21,$A$2:$A$21,A21)))*(('Tela de entrada'!$G$24-O21)/(IF((('Tela de entrada'!$G$24*20)-SUMIFS($O$2:$O$21,$B$2:$B$21,B21,$A$2:$A$21,A21))=0,1,(('Tela de entrada'!$G$24*20)-SUMIFS($O$2:$O$21,$B$2:$B$21,B21,$A$2:$A$21,A21)))))</f>
        <v>0</v>
      </c>
      <c r="R21" s="1">
        <f t="shared" si="4"/>
        <v>5</v>
      </c>
      <c r="T21" s="2"/>
      <c r="AA21">
        <v>20</v>
      </c>
      <c r="AB21">
        <f t="shared" si="0"/>
        <v>25</v>
      </c>
      <c r="AC21">
        <v>25</v>
      </c>
      <c r="AD21" s="5">
        <f t="shared" si="1"/>
        <v>5</v>
      </c>
      <c r="AE21">
        <f>'Tela de entrada'!$G$24</f>
        <v>50</v>
      </c>
      <c r="AF21">
        <f>'Tela de entrada'!$G$23</f>
        <v>0</v>
      </c>
      <c r="AG21" s="5">
        <f t="shared" si="5"/>
        <v>5</v>
      </c>
      <c r="AH21" s="5">
        <f t="shared" si="6"/>
        <v>30</v>
      </c>
    </row>
    <row r="22" spans="1:34" x14ac:dyDescent="0.25">
      <c r="O22">
        <f>SUM(O2:O21)</f>
        <v>160</v>
      </c>
      <c r="R22" s="1">
        <f>SUM(R2:R21)</f>
        <v>160</v>
      </c>
      <c r="AG22" s="5">
        <f t="shared" si="5"/>
        <v>160</v>
      </c>
    </row>
    <row r="23" spans="1:34" x14ac:dyDescent="0.25">
      <c r="J23" s="1">
        <f>J2/20</f>
        <v>50</v>
      </c>
      <c r="K23" s="1">
        <f>K2/20</f>
        <v>5</v>
      </c>
      <c r="AC23">
        <f>600/20</f>
        <v>30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workbookViewId="0">
      <selection activeCell="P4" sqref="P4"/>
    </sheetView>
  </sheetViews>
  <sheetFormatPr defaultRowHeight="15" x14ac:dyDescent="0.25"/>
  <cols>
    <col min="1" max="1" width="2.7109375" bestFit="1" customWidth="1"/>
    <col min="2" max="2" width="2" bestFit="1" customWidth="1"/>
    <col min="3" max="3" width="2.140625" bestFit="1" customWidth="1"/>
    <col min="4" max="4" width="3" bestFit="1" customWidth="1"/>
    <col min="5" max="5" width="2.28515625" bestFit="1" customWidth="1"/>
    <col min="6" max="6" width="3.28515625" bestFit="1" customWidth="1"/>
    <col min="7" max="7" width="7.7109375" bestFit="1" customWidth="1"/>
    <col min="8" max="8" width="6.42578125" bestFit="1" customWidth="1"/>
    <col min="9" max="9" width="9.85546875" bestFit="1" customWidth="1"/>
    <col min="10" max="10" width="8.28515625" bestFit="1" customWidth="1"/>
    <col min="11" max="11" width="9.7109375" bestFit="1" customWidth="1"/>
    <col min="12" max="12" width="8.7109375" bestFit="1" customWidth="1"/>
    <col min="13" max="13" width="9" customWidth="1"/>
    <col min="14" max="14" width="10.7109375" bestFit="1" customWidth="1"/>
    <col min="17" max="17" width="12.42578125" bestFit="1" customWidth="1"/>
    <col min="29" max="29" width="19.140625" bestFit="1" customWidth="1"/>
  </cols>
  <sheetData>
    <row r="1" spans="1:37" x14ac:dyDescent="0.25">
      <c r="A1" t="s">
        <v>11</v>
      </c>
      <c r="B1" t="s">
        <v>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26" t="s">
        <v>12</v>
      </c>
      <c r="J1" s="26" t="s">
        <v>13</v>
      </c>
      <c r="K1" s="4" t="s">
        <v>6</v>
      </c>
      <c r="L1" s="4" t="s">
        <v>7</v>
      </c>
      <c r="M1" s="4" t="s">
        <v>8</v>
      </c>
      <c r="N1" s="4" t="s">
        <v>9</v>
      </c>
      <c r="X1" t="s">
        <v>14</v>
      </c>
      <c r="Y1" t="s">
        <v>22</v>
      </c>
      <c r="Z1" t="s">
        <v>23</v>
      </c>
      <c r="AA1" s="3" t="s">
        <v>19</v>
      </c>
      <c r="AB1" s="3" t="s">
        <v>20</v>
      </c>
      <c r="AC1" t="s">
        <v>21</v>
      </c>
      <c r="AD1" t="s">
        <v>24</v>
      </c>
    </row>
    <row r="2" spans="1:37" x14ac:dyDescent="0.25">
      <c r="A2">
        <v>1</v>
      </c>
      <c r="B2">
        <v>1</v>
      </c>
      <c r="C2">
        <v>1</v>
      </c>
      <c r="D2">
        <v>1</v>
      </c>
      <c r="E2">
        <v>1</v>
      </c>
      <c r="F2" s="1">
        <f>INDEX('Tela de entrada'!$C$13:$C$32,MATCH('Contrato Firme'!D2,'Tela de entrada'!$B$13:$B$32,0),1)</f>
        <v>5</v>
      </c>
      <c r="G2">
        <v>0</v>
      </c>
      <c r="H2">
        <f>F2-G2</f>
        <v>5</v>
      </c>
      <c r="I2" s="1">
        <f>H2/SUM($H$2:$H$21)</f>
        <v>6.2500000000000003E-3</v>
      </c>
      <c r="J2" s="1">
        <f>IF('Tela de entrada'!$G$13="carga",('Tela de entrada'!$G$12*20)*I2,'Tela de entrada'!$G$12)</f>
        <v>2.5</v>
      </c>
      <c r="K2" s="1">
        <f>IF('Tela de entrada'!$G$12&gt;0,IFERROR(MIN('Tela de entrada'!$G$15,MAX(J2,'Tela de entrada'!$G$14)),""),0)</f>
        <v>2.5</v>
      </c>
      <c r="L2" s="1">
        <f>MAX(0,(SUMIFS($K$2:$K$21,$B$2:$B$21,B2,$A$2:$A$21,A2)-SUMIFS($J$2:$J$21,$B$2:$B$21,B2,$A$2:$A$21,A2)))*((K2-'Tela de entrada'!$G$14)/(IF(SUMIFS($K$2:$K$21,$B$2:$B$21,B2,$A$2:$A$21,A2)-('Tela de entrada'!$G$14*20)=0,1,(SUMIFS($K$2:$K$21,$B$2:$B$21,B2,$A$2:$A$21,A2)-('Tela de entrada'!$G$14*20)))))</f>
        <v>0</v>
      </c>
      <c r="M2" s="1">
        <f>MAX(0,(SUMIFS($J$2:$J$21,$B$2:$B$21,B2,$A$2:$A$21,A2)-SUMIFS($K$2:$K$21,$B$2:$B$21,B2,$A$2:$A$21,A2)))*(('Tela de entrada'!$G$15-K2)/(IF((('Tela de entrada'!$G$15*20)-SUMIFS($K$2:$K$21,$B$2:$B$21,B2,$A$2:$A$21,A2))=0,1,(('Tela de entrada'!$G$15*20)-SUMIFS($K$2:$K$21,$B$2:$B$21,B2,$A$2:$A$21,A2)))))</f>
        <v>0</v>
      </c>
      <c r="N2" s="1">
        <f>IFERROR(IF(SUM('Tela de entrada'!$I$14:$AB$14)&gt;0,INDEX('Tela de entrada'!$I$14:$AB$14,1,MATCH('Contrato Firme'!D2,'Tela de entrada'!$I$13:$AB$13,0)),K2-L2+M2),0)</f>
        <v>2.5</v>
      </c>
      <c r="P2" s="2"/>
      <c r="W2">
        <v>1</v>
      </c>
      <c r="X2">
        <f t="shared" ref="X2:X21" si="0">H2</f>
        <v>5</v>
      </c>
      <c r="Y2">
        <v>5</v>
      </c>
      <c r="Z2" s="5">
        <f t="shared" ref="Z2:Z21" si="1">J2</f>
        <v>2.5</v>
      </c>
      <c r="AA2">
        <f>'Tela de entrada'!$G$15</f>
        <v>50</v>
      </c>
      <c r="AB2">
        <f>'Tela de entrada'!$G$14</f>
        <v>2</v>
      </c>
      <c r="AC2" s="5">
        <f>N2</f>
        <v>2.5</v>
      </c>
      <c r="AD2" s="5">
        <f>Y2+AC2</f>
        <v>7.5</v>
      </c>
    </row>
    <row r="3" spans="1:37" x14ac:dyDescent="0.25">
      <c r="A3">
        <v>1</v>
      </c>
      <c r="B3">
        <v>1</v>
      </c>
      <c r="C3">
        <v>1</v>
      </c>
      <c r="D3">
        <v>2</v>
      </c>
      <c r="E3">
        <v>1</v>
      </c>
      <c r="F3" s="1">
        <f>INDEX('Tela de entrada'!$C$13:$C$32,MATCH('Contrato Firme'!D3,'Tela de entrada'!$B$13:$B$32,0),1)</f>
        <v>5</v>
      </c>
      <c r="G3">
        <v>0</v>
      </c>
      <c r="H3">
        <f t="shared" ref="H3:H21" si="2">F3-G3</f>
        <v>5</v>
      </c>
      <c r="I3" s="1">
        <f t="shared" ref="I3:I21" si="3">H3/SUM($H$2:$H$21)</f>
        <v>6.2500000000000003E-3</v>
      </c>
      <c r="J3" s="1">
        <f>IF('Tela de entrada'!$G$13="carga",('Tela de entrada'!$G$12*20)*I3,'Tela de entrada'!$G$12)</f>
        <v>2.5</v>
      </c>
      <c r="K3" s="1">
        <f>IF('Tela de entrada'!$G$12&gt;0,IFERROR(MIN('Tela de entrada'!$G$15,MAX(J3,'Tela de entrada'!$G$14)),""),0)</f>
        <v>2.5</v>
      </c>
      <c r="L3" s="1">
        <f>MAX(0,(SUMIFS($K$2:$K$21,$B$2:$B$21,B3,$A$2:$A$21,A3)-SUMIFS($J$2:$J$21,$B$2:$B$21,B3,$A$2:$A$21,A3)))*((K3-'Tela de entrada'!$G$14)/(IF(SUMIFS($K$2:$K$21,$B$2:$B$21,B3,$A$2:$A$21,A3)-('Tela de entrada'!$G$14*20)=0,1,(SUMIFS($K$2:$K$21,$B$2:$B$21,B3,$A$2:$A$21,A3)-('Tela de entrada'!$G$14*20)))))</f>
        <v>0</v>
      </c>
      <c r="M3" s="1">
        <f>MAX(0,(SUMIFS($J$2:$J$21,$B$2:$B$21,B3,$A$2:$A$21,A3)-SUMIFS($K$2:$K$21,$B$2:$B$21,B3,$A$2:$A$21,A3)))*(('Tela de entrada'!$G$15-K3)/(IF((('Tela de entrada'!$G$15*20)-SUMIFS($K$2:$K$21,$B$2:$B$21,B3,$A$2:$A$21,A3))=0,1,(('Tela de entrada'!$G$15*20)-SUMIFS($K$2:$K$21,$B$2:$B$21,B3,$A$2:$A$21,A3)))))</f>
        <v>0</v>
      </c>
      <c r="N3" s="1">
        <f>IFERROR(IF(SUM('Tela de entrada'!$I$14:$AB$14)&gt;0,INDEX('Tela de entrada'!$I$14:$AB$14,1,MATCH('Contrato Firme'!D3,'Tela de entrada'!$I$13:$AB$13,0)),K3-L3+M3),0)</f>
        <v>2.5</v>
      </c>
      <c r="P3" s="2"/>
      <c r="W3">
        <v>2</v>
      </c>
      <c r="X3">
        <f t="shared" si="0"/>
        <v>5</v>
      </c>
      <c r="Y3">
        <v>5</v>
      </c>
      <c r="Z3" s="5">
        <f t="shared" si="1"/>
        <v>2.5</v>
      </c>
      <c r="AA3">
        <f>'Tela de entrada'!$G$15</f>
        <v>50</v>
      </c>
      <c r="AB3">
        <f>'Tela de entrada'!$G$14</f>
        <v>2</v>
      </c>
      <c r="AC3" s="5">
        <f t="shared" ref="AC3:AC21" si="4">N3</f>
        <v>2.5</v>
      </c>
      <c r="AD3" s="5">
        <f t="shared" ref="AD3:AD21" si="5">Y3+AC3</f>
        <v>7.5</v>
      </c>
    </row>
    <row r="4" spans="1:37" x14ac:dyDescent="0.25">
      <c r="A4">
        <v>1</v>
      </c>
      <c r="B4">
        <v>1</v>
      </c>
      <c r="C4">
        <v>1</v>
      </c>
      <c r="D4">
        <v>3</v>
      </c>
      <c r="E4">
        <v>1</v>
      </c>
      <c r="F4" s="1">
        <f>INDEX('Tela de entrada'!$C$13:$C$32,MATCH('Contrato Firme'!D4,'Tela de entrada'!$B$13:$B$32,0),1)</f>
        <v>15</v>
      </c>
      <c r="G4">
        <v>0</v>
      </c>
      <c r="H4">
        <f t="shared" si="2"/>
        <v>15</v>
      </c>
      <c r="I4" s="1">
        <f t="shared" si="3"/>
        <v>1.8749999999999999E-2</v>
      </c>
      <c r="J4" s="1">
        <f>IF('Tela de entrada'!$G$13="carga",('Tela de entrada'!$G$12*20)*I4,'Tela de entrada'!$G$12)</f>
        <v>7.5</v>
      </c>
      <c r="K4" s="1">
        <f>IF('Tela de entrada'!$G$12&gt;0,IFERROR(MIN('Tela de entrada'!$G$15,MAX(J4,'Tela de entrada'!$G$14)),""),0)</f>
        <v>7.5</v>
      </c>
      <c r="L4" s="1">
        <f>MAX(0,(SUMIFS($K$2:$K$21,$B$2:$B$21,B4,$A$2:$A$21,A4)-SUMIFS($J$2:$J$21,$B$2:$B$21,B4,$A$2:$A$21,A4)))*((K4-'Tela de entrada'!$G$14)/(IF(SUMIFS($K$2:$K$21,$B$2:$B$21,B4,$A$2:$A$21,A4)-('Tela de entrada'!$G$14*20)=0,1,(SUMIFS($K$2:$K$21,$B$2:$B$21,B4,$A$2:$A$21,A4)-('Tela de entrada'!$G$14*20)))))</f>
        <v>0</v>
      </c>
      <c r="M4" s="1">
        <f>MAX(0,(SUMIFS($J$2:$J$21,$B$2:$B$21,B4,$A$2:$A$21,A4)-SUMIFS($K$2:$K$21,$B$2:$B$21,B4,$A$2:$A$21,A4)))*(('Tela de entrada'!$G$15-K4)/(IF((('Tela de entrada'!$G$15*20)-SUMIFS($K$2:$K$21,$B$2:$B$21,B4,$A$2:$A$21,A4))=0,1,(('Tela de entrada'!$G$15*20)-SUMIFS($K$2:$K$21,$B$2:$B$21,B4,$A$2:$A$21,A4)))))</f>
        <v>0</v>
      </c>
      <c r="N4" s="1">
        <f>IFERROR(IF(SUM('Tela de entrada'!$I$14:$AB$14)&gt;0,INDEX('Tela de entrada'!$I$14:$AB$14,1,MATCH('Contrato Firme'!D4,'Tela de entrada'!$I$13:$AB$13,0)),K4-L4+M4),0)</f>
        <v>7.5</v>
      </c>
      <c r="P4" s="2"/>
      <c r="W4">
        <v>3</v>
      </c>
      <c r="X4">
        <f t="shared" si="0"/>
        <v>15</v>
      </c>
      <c r="Y4">
        <v>5</v>
      </c>
      <c r="Z4" s="5">
        <f t="shared" si="1"/>
        <v>7.5</v>
      </c>
      <c r="AA4">
        <f>'Tela de entrada'!$G$15</f>
        <v>50</v>
      </c>
      <c r="AB4">
        <f>'Tela de entrada'!$G$14</f>
        <v>2</v>
      </c>
      <c r="AC4" s="5">
        <f t="shared" si="4"/>
        <v>7.5</v>
      </c>
      <c r="AD4" s="5">
        <f t="shared" si="5"/>
        <v>12.5</v>
      </c>
    </row>
    <row r="5" spans="1:37" x14ac:dyDescent="0.25">
      <c r="A5">
        <v>1</v>
      </c>
      <c r="B5">
        <v>1</v>
      </c>
      <c r="C5">
        <v>1</v>
      </c>
      <c r="D5">
        <v>4</v>
      </c>
      <c r="E5">
        <v>1</v>
      </c>
      <c r="F5" s="1">
        <f>INDEX('Tela de entrada'!$C$13:$C$32,MATCH('Contrato Firme'!D5,'Tela de entrada'!$B$13:$B$32,0),1)</f>
        <v>15</v>
      </c>
      <c r="G5">
        <v>0</v>
      </c>
      <c r="H5">
        <f t="shared" si="2"/>
        <v>15</v>
      </c>
      <c r="I5" s="1">
        <f t="shared" si="3"/>
        <v>1.8749999999999999E-2</v>
      </c>
      <c r="J5" s="1">
        <f>IF('Tela de entrada'!$G$13="carga",('Tela de entrada'!$G$12*20)*I5,'Tela de entrada'!$G$12)</f>
        <v>7.5</v>
      </c>
      <c r="K5" s="1">
        <f>IF('Tela de entrada'!$G$12&gt;0,IFERROR(MIN('Tela de entrada'!$G$15,MAX(J5,'Tela de entrada'!$G$14)),""),0)</f>
        <v>7.5</v>
      </c>
      <c r="L5" s="1">
        <f>MAX(0,(SUMIFS($K$2:$K$21,$B$2:$B$21,B5,$A$2:$A$21,A5)-SUMIFS($J$2:$J$21,$B$2:$B$21,B5,$A$2:$A$21,A5)))*((K5-'Tela de entrada'!$G$14)/(IF(SUMIFS($K$2:$K$21,$B$2:$B$21,B5,$A$2:$A$21,A5)-('Tela de entrada'!$G$14*20)=0,1,(SUMIFS($K$2:$K$21,$B$2:$B$21,B5,$A$2:$A$21,A5)-('Tela de entrada'!$G$14*20)))))</f>
        <v>0</v>
      </c>
      <c r="M5" s="1">
        <f>MAX(0,(SUMIFS($J$2:$J$21,$B$2:$B$21,B5,$A$2:$A$21,A5)-SUMIFS($K$2:$K$21,$B$2:$B$21,B5,$A$2:$A$21,A5)))*(('Tela de entrada'!$G$15-K5)/(IF((('Tela de entrada'!$G$15*20)-SUMIFS($K$2:$K$21,$B$2:$B$21,B5,$A$2:$A$21,A5))=0,1,(('Tela de entrada'!$G$15*20)-SUMIFS($K$2:$K$21,$B$2:$B$21,B5,$A$2:$A$21,A5)))))</f>
        <v>0</v>
      </c>
      <c r="N5" s="1">
        <f>IFERROR(IF(SUM('Tela de entrada'!$I$14:$AB$14)&gt;0,INDEX('Tela de entrada'!$I$14:$AB$14,1,MATCH('Contrato Firme'!D5,'Tela de entrada'!$I$13:$AB$13,0)),K5-L5+M5),0)</f>
        <v>7.5</v>
      </c>
      <c r="P5" s="2"/>
      <c r="W5">
        <v>4</v>
      </c>
      <c r="X5">
        <f t="shared" si="0"/>
        <v>15</v>
      </c>
      <c r="Y5">
        <v>5</v>
      </c>
      <c r="Z5" s="5">
        <f t="shared" si="1"/>
        <v>7.5</v>
      </c>
      <c r="AA5">
        <f>'Tela de entrada'!$G$15</f>
        <v>50</v>
      </c>
      <c r="AB5">
        <f>'Tela de entrada'!$G$14</f>
        <v>2</v>
      </c>
      <c r="AC5" s="5">
        <f t="shared" si="4"/>
        <v>7.5</v>
      </c>
      <c r="AD5" s="5">
        <f t="shared" si="5"/>
        <v>12.5</v>
      </c>
    </row>
    <row r="6" spans="1:37" x14ac:dyDescent="0.25">
      <c r="A6">
        <v>1</v>
      </c>
      <c r="B6">
        <v>1</v>
      </c>
      <c r="C6">
        <v>1</v>
      </c>
      <c r="D6">
        <v>5</v>
      </c>
      <c r="E6">
        <v>1</v>
      </c>
      <c r="F6" s="1">
        <f>INDEX('Tela de entrada'!$C$13:$C$32,MATCH('Contrato Firme'!D6,'Tela de entrada'!$B$13:$B$32,0),1)</f>
        <v>35</v>
      </c>
      <c r="G6">
        <v>0</v>
      </c>
      <c r="H6">
        <f t="shared" si="2"/>
        <v>35</v>
      </c>
      <c r="I6" s="1">
        <f t="shared" si="3"/>
        <v>4.3749999999999997E-2</v>
      </c>
      <c r="J6" s="1">
        <f>IF('Tela de entrada'!$G$13="carga",('Tela de entrada'!$G$12*20)*I6,'Tela de entrada'!$G$12)</f>
        <v>17.5</v>
      </c>
      <c r="K6" s="1">
        <f>IF('Tela de entrada'!$G$12&gt;0,IFERROR(MIN('Tela de entrada'!$G$15,MAX(J6,'Tela de entrada'!$G$14)),""),0)</f>
        <v>17.5</v>
      </c>
      <c r="L6" s="1">
        <f>MAX(0,(SUMIFS($K$2:$K$21,$B$2:$B$21,B6,$A$2:$A$21,A6)-SUMIFS($J$2:$J$21,$B$2:$B$21,B6,$A$2:$A$21,A6)))*((K6-'Tela de entrada'!$G$14)/(IF(SUMIFS($K$2:$K$21,$B$2:$B$21,B6,$A$2:$A$21,A6)-('Tela de entrada'!$G$14*20)=0,1,(SUMIFS($K$2:$K$21,$B$2:$B$21,B6,$A$2:$A$21,A6)-('Tela de entrada'!$G$14*20)))))</f>
        <v>0</v>
      </c>
      <c r="M6" s="1">
        <f>MAX(0,(SUMIFS($J$2:$J$21,$B$2:$B$21,B6,$A$2:$A$21,A6)-SUMIFS($K$2:$K$21,$B$2:$B$21,B6,$A$2:$A$21,A6)))*(('Tela de entrada'!$G$15-K6)/(IF((('Tela de entrada'!$G$15*20)-SUMIFS($K$2:$K$21,$B$2:$B$21,B6,$A$2:$A$21,A6))=0,1,(('Tela de entrada'!$G$15*20)-SUMIFS($K$2:$K$21,$B$2:$B$21,B6,$A$2:$A$21,A6)))))</f>
        <v>0</v>
      </c>
      <c r="N6" s="1">
        <f>IFERROR(IF(SUM('Tela de entrada'!$I$14:$AB$14)&gt;0,INDEX('Tela de entrada'!$I$14:$AB$14,1,MATCH('Contrato Firme'!D6,'Tela de entrada'!$I$13:$AB$13,0)),K6-L6+M6),0)</f>
        <v>17.5</v>
      </c>
      <c r="P6" s="2"/>
      <c r="W6">
        <v>5</v>
      </c>
      <c r="X6">
        <f t="shared" si="0"/>
        <v>35</v>
      </c>
      <c r="Y6">
        <v>15</v>
      </c>
      <c r="Z6" s="5">
        <f t="shared" si="1"/>
        <v>17.5</v>
      </c>
      <c r="AA6">
        <f>'Tela de entrada'!$G$15</f>
        <v>50</v>
      </c>
      <c r="AB6">
        <f>'Tela de entrada'!$G$14</f>
        <v>2</v>
      </c>
      <c r="AC6" s="5">
        <f t="shared" si="4"/>
        <v>17.5</v>
      </c>
      <c r="AD6" s="5">
        <f t="shared" si="5"/>
        <v>32.5</v>
      </c>
    </row>
    <row r="7" spans="1:37" x14ac:dyDescent="0.25">
      <c r="A7">
        <v>1</v>
      </c>
      <c r="B7">
        <v>1</v>
      </c>
      <c r="C7">
        <v>1</v>
      </c>
      <c r="D7">
        <v>6</v>
      </c>
      <c r="E7">
        <v>1</v>
      </c>
      <c r="F7" s="1">
        <f>INDEX('Tela de entrada'!$C$13:$C$32,MATCH('Contrato Firme'!D7,'Tela de entrada'!$B$13:$B$32,0),1)</f>
        <v>35</v>
      </c>
      <c r="G7">
        <v>0</v>
      </c>
      <c r="H7">
        <f t="shared" si="2"/>
        <v>35</v>
      </c>
      <c r="I7" s="1">
        <f t="shared" si="3"/>
        <v>4.3749999999999997E-2</v>
      </c>
      <c r="J7" s="1">
        <f>IF('Tela de entrada'!$G$13="carga",('Tela de entrada'!$G$12*20)*I7,'Tela de entrada'!$G$12)</f>
        <v>17.5</v>
      </c>
      <c r="K7" s="1">
        <f>IF('Tela de entrada'!$G$12&gt;0,IFERROR(MIN('Tela de entrada'!$G$15,MAX(J7,'Tela de entrada'!$G$14)),""),0)</f>
        <v>17.5</v>
      </c>
      <c r="L7" s="1">
        <f>MAX(0,(SUMIFS($K$2:$K$21,$B$2:$B$21,B7,$A$2:$A$21,A7)-SUMIFS($J$2:$J$21,$B$2:$B$21,B7,$A$2:$A$21,A7)))*((K7-'Tela de entrada'!$G$14)/(IF(SUMIFS($K$2:$K$21,$B$2:$B$21,B7,$A$2:$A$21,A7)-('Tela de entrada'!$G$14*20)=0,1,(SUMIFS($K$2:$K$21,$B$2:$B$21,B7,$A$2:$A$21,A7)-('Tela de entrada'!$G$14*20)))))</f>
        <v>0</v>
      </c>
      <c r="M7" s="1">
        <f>MAX(0,(SUMIFS($J$2:$J$21,$B$2:$B$21,B7,$A$2:$A$21,A7)-SUMIFS($K$2:$K$21,$B$2:$B$21,B7,$A$2:$A$21,A7)))*(('Tela de entrada'!$G$15-K7)/(IF((('Tela de entrada'!$G$15*20)-SUMIFS($K$2:$K$21,$B$2:$B$21,B7,$A$2:$A$21,A7))=0,1,(('Tela de entrada'!$G$15*20)-SUMIFS($K$2:$K$21,$B$2:$B$21,B7,$A$2:$A$21,A7)))))</f>
        <v>0</v>
      </c>
      <c r="N7" s="1">
        <f>IFERROR(IF(SUM('Tela de entrada'!$I$14:$AB$14)&gt;0,INDEX('Tela de entrada'!$I$14:$AB$14,1,MATCH('Contrato Firme'!D7,'Tela de entrada'!$I$13:$AB$13,0)),K7-L7+M7),0)</f>
        <v>17.5</v>
      </c>
      <c r="P7" s="2"/>
      <c r="W7">
        <v>6</v>
      </c>
      <c r="X7">
        <f t="shared" si="0"/>
        <v>35</v>
      </c>
      <c r="Y7">
        <v>15</v>
      </c>
      <c r="Z7" s="5">
        <f t="shared" si="1"/>
        <v>17.5</v>
      </c>
      <c r="AA7">
        <f>'Tela de entrada'!$G$15</f>
        <v>50</v>
      </c>
      <c r="AB7">
        <f>'Tela de entrada'!$G$14</f>
        <v>2</v>
      </c>
      <c r="AC7" s="5">
        <f t="shared" si="4"/>
        <v>17.5</v>
      </c>
      <c r="AD7" s="5">
        <f t="shared" si="5"/>
        <v>32.5</v>
      </c>
      <c r="AG7">
        <v>300</v>
      </c>
      <c r="AH7">
        <f>AG7/AG8</f>
        <v>0.33333333333333331</v>
      </c>
    </row>
    <row r="8" spans="1:37" x14ac:dyDescent="0.25">
      <c r="A8">
        <v>1</v>
      </c>
      <c r="B8">
        <v>1</v>
      </c>
      <c r="C8">
        <v>1</v>
      </c>
      <c r="D8">
        <v>7</v>
      </c>
      <c r="E8">
        <v>1</v>
      </c>
      <c r="F8" s="1">
        <f>INDEX('Tela de entrada'!$C$13:$C$32,MATCH('Contrato Firme'!D8,'Tela de entrada'!$B$13:$B$32,0),1)</f>
        <v>40</v>
      </c>
      <c r="G8">
        <v>0</v>
      </c>
      <c r="H8">
        <f t="shared" si="2"/>
        <v>40</v>
      </c>
      <c r="I8" s="1">
        <f t="shared" si="3"/>
        <v>0.05</v>
      </c>
      <c r="J8" s="1">
        <f>IF('Tela de entrada'!$G$13="carga",('Tela de entrada'!$G$12*20)*I8,'Tela de entrada'!$G$12)</f>
        <v>20</v>
      </c>
      <c r="K8" s="1">
        <f>IF('Tela de entrada'!$G$12&gt;0,IFERROR(MIN('Tela de entrada'!$G$15,MAX(J8,'Tela de entrada'!$G$14)),""),0)</f>
        <v>20</v>
      </c>
      <c r="L8" s="1">
        <f>MAX(0,(SUMIFS($K$2:$K$21,$B$2:$B$21,B8,$A$2:$A$21,A8)-SUMIFS($J$2:$J$21,$B$2:$B$21,B8,$A$2:$A$21,A8)))*((K8-'Tela de entrada'!$G$14)/(IF(SUMIFS($K$2:$K$21,$B$2:$B$21,B8,$A$2:$A$21,A8)-('Tela de entrada'!$G$14*20)=0,1,(SUMIFS($K$2:$K$21,$B$2:$B$21,B8,$A$2:$A$21,A8)-('Tela de entrada'!$G$14*20)))))</f>
        <v>0</v>
      </c>
      <c r="M8" s="1">
        <f>MAX(0,(SUMIFS($J$2:$J$21,$B$2:$B$21,B8,$A$2:$A$21,A8)-SUMIFS($K$2:$K$21,$B$2:$B$21,B8,$A$2:$A$21,A8)))*(('Tela de entrada'!$G$15-K8)/(IF((('Tela de entrada'!$G$15*20)-SUMIFS($K$2:$K$21,$B$2:$B$21,B8,$A$2:$A$21,A8))=0,1,(('Tela de entrada'!$G$15*20)-SUMIFS($K$2:$K$21,$B$2:$B$21,B8,$A$2:$A$21,A8)))))</f>
        <v>0</v>
      </c>
      <c r="N8" s="1">
        <f>IFERROR(IF(SUM('Tela de entrada'!$I$14:$AB$14)&gt;0,INDEX('Tela de entrada'!$I$14:$AB$14,1,MATCH('Contrato Firme'!D8,'Tela de entrada'!$I$13:$AB$13,0)),K8-L8+M8),0)</f>
        <v>20</v>
      </c>
      <c r="P8" s="2"/>
      <c r="W8">
        <v>7</v>
      </c>
      <c r="X8">
        <f t="shared" si="0"/>
        <v>40</v>
      </c>
      <c r="Y8">
        <v>15</v>
      </c>
      <c r="Z8" s="5">
        <f t="shared" si="1"/>
        <v>20</v>
      </c>
      <c r="AA8">
        <f>'Tela de entrada'!$G$15</f>
        <v>50</v>
      </c>
      <c r="AB8">
        <f>'Tela de entrada'!$G$14</f>
        <v>2</v>
      </c>
      <c r="AC8" s="5">
        <f t="shared" si="4"/>
        <v>20</v>
      </c>
      <c r="AD8" s="5">
        <f t="shared" si="5"/>
        <v>35</v>
      </c>
      <c r="AG8">
        <v>900</v>
      </c>
    </row>
    <row r="9" spans="1:37" x14ac:dyDescent="0.25">
      <c r="A9">
        <v>1</v>
      </c>
      <c r="B9">
        <v>1</v>
      </c>
      <c r="C9">
        <v>1</v>
      </c>
      <c r="D9">
        <v>8</v>
      </c>
      <c r="E9">
        <v>1</v>
      </c>
      <c r="F9" s="1">
        <f>INDEX('Tela de entrada'!$C$13:$C$32,MATCH('Contrato Firme'!D9,'Tela de entrada'!$B$13:$B$32,0),1)</f>
        <v>50</v>
      </c>
      <c r="G9">
        <v>0</v>
      </c>
      <c r="H9">
        <f t="shared" si="2"/>
        <v>50</v>
      </c>
      <c r="I9" s="1">
        <f t="shared" si="3"/>
        <v>6.25E-2</v>
      </c>
      <c r="J9" s="1">
        <f>IF('Tela de entrada'!$G$13="carga",('Tela de entrada'!$G$12*20)*I9,'Tela de entrada'!$G$12)</f>
        <v>25</v>
      </c>
      <c r="K9" s="1">
        <f>IF('Tela de entrada'!$G$12&gt;0,IFERROR(MIN('Tela de entrada'!$G$15,MAX(J9,'Tela de entrada'!$G$14)),""),0)</f>
        <v>25</v>
      </c>
      <c r="L9" s="1">
        <f>MAX(0,(SUMIFS($K$2:$K$21,$B$2:$B$21,B9,$A$2:$A$21,A9)-SUMIFS($J$2:$J$21,$B$2:$B$21,B9,$A$2:$A$21,A9)))*((K9-'Tela de entrada'!$G$14)/(IF(SUMIFS($K$2:$K$21,$B$2:$B$21,B9,$A$2:$A$21,A9)-('Tela de entrada'!$G$14*20)=0,1,(SUMIFS($K$2:$K$21,$B$2:$B$21,B9,$A$2:$A$21,A9)-('Tela de entrada'!$G$14*20)))))</f>
        <v>0</v>
      </c>
      <c r="M9" s="1">
        <f>MAX(0,(SUMIFS($J$2:$J$21,$B$2:$B$21,B9,$A$2:$A$21,A9)-SUMIFS($K$2:$K$21,$B$2:$B$21,B9,$A$2:$A$21,A9)))*(('Tela de entrada'!$G$15-K9)/(IF((('Tela de entrada'!$G$15*20)-SUMIFS($K$2:$K$21,$B$2:$B$21,B9,$A$2:$A$21,A9))=0,1,(('Tela de entrada'!$G$15*20)-SUMIFS($K$2:$K$21,$B$2:$B$21,B9,$A$2:$A$21,A9)))))</f>
        <v>0</v>
      </c>
      <c r="N9" s="1">
        <f>IFERROR(IF(SUM('Tela de entrada'!$I$14:$AB$14)&gt;0,INDEX('Tela de entrada'!$I$14:$AB$14,1,MATCH('Contrato Firme'!D9,'Tela de entrada'!$I$13:$AB$13,0)),K9-L9+M9),0)</f>
        <v>25</v>
      </c>
      <c r="P9" s="2"/>
      <c r="W9">
        <v>8</v>
      </c>
      <c r="X9">
        <f t="shared" si="0"/>
        <v>50</v>
      </c>
      <c r="Y9">
        <v>45</v>
      </c>
      <c r="Z9" s="5">
        <f t="shared" si="1"/>
        <v>25</v>
      </c>
      <c r="AA9">
        <f>'Tela de entrada'!$G$15</f>
        <v>50</v>
      </c>
      <c r="AB9">
        <f>'Tela de entrada'!$G$14</f>
        <v>2</v>
      </c>
      <c r="AC9" s="5">
        <f t="shared" si="4"/>
        <v>25</v>
      </c>
      <c r="AD9" s="5">
        <f t="shared" si="5"/>
        <v>70</v>
      </c>
      <c r="AK9">
        <f>900*0.3</f>
        <v>270</v>
      </c>
    </row>
    <row r="10" spans="1:37" x14ac:dyDescent="0.25">
      <c r="A10">
        <v>1</v>
      </c>
      <c r="B10">
        <v>1</v>
      </c>
      <c r="C10">
        <v>1</v>
      </c>
      <c r="D10">
        <v>9</v>
      </c>
      <c r="E10">
        <v>1</v>
      </c>
      <c r="F10" s="1">
        <f>INDEX('Tela de entrada'!$C$13:$C$32,MATCH('Contrato Firme'!D10,'Tela de entrada'!$B$13:$B$32,0),1)</f>
        <v>50</v>
      </c>
      <c r="G10">
        <v>0</v>
      </c>
      <c r="H10">
        <f t="shared" si="2"/>
        <v>50</v>
      </c>
      <c r="I10" s="1">
        <f t="shared" si="3"/>
        <v>6.25E-2</v>
      </c>
      <c r="J10" s="1">
        <f>IF('Tela de entrada'!$G$13="carga",('Tela de entrada'!$G$12*20)*I10,'Tela de entrada'!$G$12)</f>
        <v>25</v>
      </c>
      <c r="K10" s="1">
        <f>IF('Tela de entrada'!$G$12&gt;0,IFERROR(MIN('Tela de entrada'!$G$15,MAX(J10,'Tela de entrada'!$G$14)),""),0)</f>
        <v>25</v>
      </c>
      <c r="L10" s="1">
        <f>MAX(0,(SUMIFS($K$2:$K$21,$B$2:$B$21,B10,$A$2:$A$21,A10)-SUMIFS($J$2:$J$21,$B$2:$B$21,B10,$A$2:$A$21,A10)))*((K10-'Tela de entrada'!$G$14)/(IF(SUMIFS($K$2:$K$21,$B$2:$B$21,B10,$A$2:$A$21,A10)-('Tela de entrada'!$G$14*20)=0,1,(SUMIFS($K$2:$K$21,$B$2:$B$21,B10,$A$2:$A$21,A10)-('Tela de entrada'!$G$14*20)))))</f>
        <v>0</v>
      </c>
      <c r="M10" s="1">
        <f>MAX(0,(SUMIFS($J$2:$J$21,$B$2:$B$21,B10,$A$2:$A$21,A10)-SUMIFS($K$2:$K$21,$B$2:$B$21,B10,$A$2:$A$21,A10)))*(('Tela de entrada'!$G$15-K10)/(IF((('Tela de entrada'!$G$15*20)-SUMIFS($K$2:$K$21,$B$2:$B$21,B10,$A$2:$A$21,A10))=0,1,(('Tela de entrada'!$G$15*20)-SUMIFS($K$2:$K$21,$B$2:$B$21,B10,$A$2:$A$21,A10)))))</f>
        <v>0</v>
      </c>
      <c r="N10" s="1">
        <f>IFERROR(IF(SUM('Tela de entrada'!$I$14:$AB$14)&gt;0,INDEX('Tela de entrada'!$I$14:$AB$14,1,MATCH('Contrato Firme'!D10,'Tela de entrada'!$I$13:$AB$13,0)),K10-L10+M10),0)</f>
        <v>25</v>
      </c>
      <c r="P10" s="2"/>
      <c r="W10">
        <v>9</v>
      </c>
      <c r="X10">
        <f t="shared" si="0"/>
        <v>50</v>
      </c>
      <c r="Y10">
        <v>45</v>
      </c>
      <c r="Z10" s="5">
        <f t="shared" si="1"/>
        <v>25</v>
      </c>
      <c r="AA10">
        <f>'Tela de entrada'!$G$15</f>
        <v>50</v>
      </c>
      <c r="AB10">
        <f>'Tela de entrada'!$G$14</f>
        <v>2</v>
      </c>
      <c r="AC10" s="5">
        <f t="shared" si="4"/>
        <v>25</v>
      </c>
      <c r="AD10" s="5">
        <f t="shared" si="5"/>
        <v>70</v>
      </c>
    </row>
    <row r="11" spans="1:37" x14ac:dyDescent="0.25">
      <c r="A11">
        <v>1</v>
      </c>
      <c r="B11">
        <v>1</v>
      </c>
      <c r="C11">
        <v>1</v>
      </c>
      <c r="D11">
        <v>10</v>
      </c>
      <c r="E11">
        <v>1</v>
      </c>
      <c r="F11" s="1">
        <f>INDEX('Tela de entrada'!$C$13:$C$32,MATCH('Contrato Firme'!D11,'Tela de entrada'!$B$13:$B$32,0),1)</f>
        <v>60</v>
      </c>
      <c r="G11">
        <v>0</v>
      </c>
      <c r="H11">
        <f t="shared" si="2"/>
        <v>60</v>
      </c>
      <c r="I11" s="1">
        <f t="shared" si="3"/>
        <v>7.4999999999999997E-2</v>
      </c>
      <c r="J11" s="1">
        <f>IF('Tela de entrada'!$G$13="carga",('Tela de entrada'!$G$12*20)*I11,'Tela de entrada'!$G$12)</f>
        <v>30</v>
      </c>
      <c r="K11" s="1">
        <f>IF('Tela de entrada'!$G$12&gt;0,IFERROR(MIN('Tela de entrada'!$G$15,MAX(J11,'Tela de entrada'!$G$14)),""),0)</f>
        <v>30</v>
      </c>
      <c r="L11" s="1">
        <f>MAX(0,(SUMIFS($K$2:$K$21,$B$2:$B$21,B11,$A$2:$A$21,A11)-SUMIFS($J$2:$J$21,$B$2:$B$21,B11,$A$2:$A$21,A11)))*((K11-'Tela de entrada'!$G$14)/(IF(SUMIFS($K$2:$K$21,$B$2:$B$21,B11,$A$2:$A$21,A11)-('Tela de entrada'!$G$14*20)=0,1,(SUMIFS($K$2:$K$21,$B$2:$B$21,B11,$A$2:$A$21,A11)-('Tela de entrada'!$G$14*20)))))</f>
        <v>0</v>
      </c>
      <c r="M11" s="1">
        <f>MAX(0,(SUMIFS($J$2:$J$21,$B$2:$B$21,B11,$A$2:$A$21,A11)-SUMIFS($K$2:$K$21,$B$2:$B$21,B11,$A$2:$A$21,A11)))*(('Tela de entrada'!$G$15-K11)/(IF((('Tela de entrada'!$G$15*20)-SUMIFS($K$2:$K$21,$B$2:$B$21,B11,$A$2:$A$21,A11))=0,1,(('Tela de entrada'!$G$15*20)-SUMIFS($K$2:$K$21,$B$2:$B$21,B11,$A$2:$A$21,A11)))))</f>
        <v>0</v>
      </c>
      <c r="N11" s="1">
        <f>IFERROR(IF(SUM('Tela de entrada'!$I$14:$AB$14)&gt;0,INDEX('Tela de entrada'!$I$14:$AB$14,1,MATCH('Contrato Firme'!D11,'Tela de entrada'!$I$13:$AB$13,0)),K11-L11+M11),0)</f>
        <v>30</v>
      </c>
      <c r="P11" s="2"/>
      <c r="W11">
        <v>10</v>
      </c>
      <c r="X11">
        <f t="shared" si="0"/>
        <v>60</v>
      </c>
      <c r="Y11">
        <v>45</v>
      </c>
      <c r="Z11" s="5">
        <f t="shared" si="1"/>
        <v>30</v>
      </c>
      <c r="AA11">
        <f>'Tela de entrada'!$G$15</f>
        <v>50</v>
      </c>
      <c r="AB11">
        <f>'Tela de entrada'!$G$14</f>
        <v>2</v>
      </c>
      <c r="AC11" s="5">
        <f t="shared" si="4"/>
        <v>30</v>
      </c>
      <c r="AD11" s="5">
        <f t="shared" si="5"/>
        <v>75</v>
      </c>
    </row>
    <row r="12" spans="1:37" x14ac:dyDescent="0.25">
      <c r="A12">
        <v>1</v>
      </c>
      <c r="B12">
        <v>1</v>
      </c>
      <c r="C12">
        <v>1</v>
      </c>
      <c r="D12">
        <v>11</v>
      </c>
      <c r="E12">
        <v>1</v>
      </c>
      <c r="F12" s="1">
        <f>INDEX('Tela de entrada'!$C$13:$C$32,MATCH('Contrato Firme'!D12,'Tela de entrada'!$B$13:$B$32,0),1)</f>
        <v>65</v>
      </c>
      <c r="G12">
        <v>0</v>
      </c>
      <c r="H12">
        <f t="shared" si="2"/>
        <v>65</v>
      </c>
      <c r="I12" s="1">
        <f t="shared" si="3"/>
        <v>8.1250000000000003E-2</v>
      </c>
      <c r="J12" s="1">
        <f>IF('Tela de entrada'!$G$13="carga",('Tela de entrada'!$G$12*20)*I12,'Tela de entrada'!$G$12)</f>
        <v>32.5</v>
      </c>
      <c r="K12" s="1">
        <f>IF('Tela de entrada'!$G$12&gt;0,IFERROR(MIN('Tela de entrada'!$G$15,MAX(J12,'Tela de entrada'!$G$14)),""),0)</f>
        <v>32.5</v>
      </c>
      <c r="L12" s="1">
        <f>MAX(0,(SUMIFS($K$2:$K$21,$B$2:$B$21,B12,$A$2:$A$21,A12)-SUMIFS($J$2:$J$21,$B$2:$B$21,B12,$A$2:$A$21,A12)))*((K12-'Tela de entrada'!$G$14)/(IF(SUMIFS($K$2:$K$21,$B$2:$B$21,B12,$A$2:$A$21,A12)-('Tela de entrada'!$G$14*20)=0,1,(SUMIFS($K$2:$K$21,$B$2:$B$21,B12,$A$2:$A$21,A12)-('Tela de entrada'!$G$14*20)))))</f>
        <v>0</v>
      </c>
      <c r="M12" s="1">
        <f>MAX(0,(SUMIFS($J$2:$J$21,$B$2:$B$21,B12,$A$2:$A$21,A12)-SUMIFS($K$2:$K$21,$B$2:$B$21,B12,$A$2:$A$21,A12)))*(('Tela de entrada'!$G$15-K12)/(IF((('Tela de entrada'!$G$15*20)-SUMIFS($K$2:$K$21,$B$2:$B$21,B12,$A$2:$A$21,A12))=0,1,(('Tela de entrada'!$G$15*20)-SUMIFS($K$2:$K$21,$B$2:$B$21,B12,$A$2:$A$21,A12)))))</f>
        <v>0</v>
      </c>
      <c r="N12" s="1">
        <f>IFERROR(IF(SUM('Tela de entrada'!$I$14:$AB$14)&gt;0,INDEX('Tela de entrada'!$I$14:$AB$14,1,MATCH('Contrato Firme'!D12,'Tela de entrada'!$I$13:$AB$13,0)),K12-L12+M12),0)</f>
        <v>32.5</v>
      </c>
      <c r="P12" s="2"/>
      <c r="W12">
        <v>11</v>
      </c>
      <c r="X12">
        <f t="shared" si="0"/>
        <v>65</v>
      </c>
      <c r="Y12">
        <v>45</v>
      </c>
      <c r="Z12" s="5">
        <f t="shared" si="1"/>
        <v>32.5</v>
      </c>
      <c r="AA12">
        <f>'Tela de entrada'!$G$15</f>
        <v>50</v>
      </c>
      <c r="AB12">
        <f>'Tela de entrada'!$G$14</f>
        <v>2</v>
      </c>
      <c r="AC12" s="5">
        <f t="shared" si="4"/>
        <v>32.5</v>
      </c>
      <c r="AD12" s="5">
        <f t="shared" si="5"/>
        <v>77.5</v>
      </c>
    </row>
    <row r="13" spans="1:37" x14ac:dyDescent="0.25">
      <c r="A13">
        <v>1</v>
      </c>
      <c r="B13">
        <v>1</v>
      </c>
      <c r="C13">
        <v>1</v>
      </c>
      <c r="D13">
        <v>12</v>
      </c>
      <c r="E13">
        <v>1</v>
      </c>
      <c r="F13" s="1">
        <f>INDEX('Tela de entrada'!$C$13:$C$32,MATCH('Contrato Firme'!D13,'Tela de entrada'!$B$13:$B$32,0),1)</f>
        <v>60</v>
      </c>
      <c r="G13">
        <v>0</v>
      </c>
      <c r="H13">
        <f t="shared" si="2"/>
        <v>60</v>
      </c>
      <c r="I13" s="1">
        <f t="shared" si="3"/>
        <v>7.4999999999999997E-2</v>
      </c>
      <c r="J13" s="1">
        <f>IF('Tela de entrada'!$G$13="carga",('Tela de entrada'!$G$12*20)*I13,'Tela de entrada'!$G$12)</f>
        <v>30</v>
      </c>
      <c r="K13" s="1">
        <f>IF('Tela de entrada'!$G$12&gt;0,IFERROR(MIN('Tela de entrada'!$G$15,MAX(J13,'Tela de entrada'!$G$14)),""),0)</f>
        <v>30</v>
      </c>
      <c r="L13" s="1">
        <f>MAX(0,(SUMIFS($K$2:$K$21,$B$2:$B$21,B13,$A$2:$A$21,A13)-SUMIFS($J$2:$J$21,$B$2:$B$21,B13,$A$2:$A$21,A13)))*((K13-'Tela de entrada'!$G$14)/(IF(SUMIFS($K$2:$K$21,$B$2:$B$21,B13,$A$2:$A$21,A13)-('Tela de entrada'!$G$14*20)=0,1,(SUMIFS($K$2:$K$21,$B$2:$B$21,B13,$A$2:$A$21,A13)-('Tela de entrada'!$G$14*20)))))</f>
        <v>0</v>
      </c>
      <c r="M13" s="1">
        <f>MAX(0,(SUMIFS($J$2:$J$21,$B$2:$B$21,B13,$A$2:$A$21,A13)-SUMIFS($K$2:$K$21,$B$2:$B$21,B13,$A$2:$A$21,A13)))*(('Tela de entrada'!$G$15-K13)/(IF((('Tela de entrada'!$G$15*20)-SUMIFS($K$2:$K$21,$B$2:$B$21,B13,$A$2:$A$21,A13))=0,1,(('Tela de entrada'!$G$15*20)-SUMIFS($K$2:$K$21,$B$2:$B$21,B13,$A$2:$A$21,A13)))))</f>
        <v>0</v>
      </c>
      <c r="N13" s="1">
        <f>IFERROR(IF(SUM('Tela de entrada'!$I$14:$AB$14)&gt;0,INDEX('Tela de entrada'!$I$14:$AB$14,1,MATCH('Contrato Firme'!D13,'Tela de entrada'!$I$13:$AB$13,0)),K13-L13+M13),0)</f>
        <v>30</v>
      </c>
      <c r="P13" s="2"/>
      <c r="W13">
        <v>12</v>
      </c>
      <c r="X13">
        <f t="shared" si="0"/>
        <v>60</v>
      </c>
      <c r="Y13">
        <v>45</v>
      </c>
      <c r="Z13" s="5">
        <f t="shared" si="1"/>
        <v>30</v>
      </c>
      <c r="AA13">
        <f>'Tela de entrada'!$G$15</f>
        <v>50</v>
      </c>
      <c r="AB13">
        <f>'Tela de entrada'!$G$14</f>
        <v>2</v>
      </c>
      <c r="AC13" s="5">
        <f t="shared" si="4"/>
        <v>30</v>
      </c>
      <c r="AD13" s="5">
        <f t="shared" si="5"/>
        <v>75</v>
      </c>
      <c r="AK13">
        <f>AK9/20</f>
        <v>13.5</v>
      </c>
    </row>
    <row r="14" spans="1:37" x14ac:dyDescent="0.25">
      <c r="A14">
        <v>1</v>
      </c>
      <c r="B14">
        <v>1</v>
      </c>
      <c r="C14">
        <v>1</v>
      </c>
      <c r="D14">
        <v>13</v>
      </c>
      <c r="E14">
        <v>1</v>
      </c>
      <c r="F14" s="1">
        <f>INDEX('Tela de entrada'!$C$13:$C$32,MATCH('Contrato Firme'!D14,'Tela de entrada'!$B$13:$B$32,0),1)</f>
        <v>55</v>
      </c>
      <c r="G14">
        <v>0</v>
      </c>
      <c r="H14">
        <f t="shared" si="2"/>
        <v>55</v>
      </c>
      <c r="I14" s="1">
        <f t="shared" si="3"/>
        <v>6.8750000000000006E-2</v>
      </c>
      <c r="J14" s="1">
        <f>IF('Tela de entrada'!$G$13="carga",('Tela de entrada'!$G$12*20)*I14,'Tela de entrada'!$G$12)</f>
        <v>27.500000000000004</v>
      </c>
      <c r="K14" s="1">
        <f>IF('Tela de entrada'!$G$12&gt;0,IFERROR(MIN('Tela de entrada'!$G$15,MAX(J14,'Tela de entrada'!$G$14)),""),0)</f>
        <v>27.500000000000004</v>
      </c>
      <c r="L14" s="1">
        <f>MAX(0,(SUMIFS($K$2:$K$21,$B$2:$B$21,B14,$A$2:$A$21,A14)-SUMIFS($J$2:$J$21,$B$2:$B$21,B14,$A$2:$A$21,A14)))*((K14-'Tela de entrada'!$G$14)/(IF(SUMIFS($K$2:$K$21,$B$2:$B$21,B14,$A$2:$A$21,A14)-('Tela de entrada'!$G$14*20)=0,1,(SUMIFS($K$2:$K$21,$B$2:$B$21,B14,$A$2:$A$21,A14)-('Tela de entrada'!$G$14*20)))))</f>
        <v>0</v>
      </c>
      <c r="M14" s="1">
        <f>MAX(0,(SUMIFS($J$2:$J$21,$B$2:$B$21,B14,$A$2:$A$21,A14)-SUMIFS($K$2:$K$21,$B$2:$B$21,B14,$A$2:$A$21,A14)))*(('Tela de entrada'!$G$15-K14)/(IF((('Tela de entrada'!$G$15*20)-SUMIFS($K$2:$K$21,$B$2:$B$21,B14,$A$2:$A$21,A14))=0,1,(('Tela de entrada'!$G$15*20)-SUMIFS($K$2:$K$21,$B$2:$B$21,B14,$A$2:$A$21,A14)))))</f>
        <v>0</v>
      </c>
      <c r="N14" s="1">
        <f>IFERROR(IF(SUM('Tela de entrada'!$I$14:$AB$14)&gt;0,INDEX('Tela de entrada'!$I$14:$AB$14,1,MATCH('Contrato Firme'!D14,'Tela de entrada'!$I$13:$AB$13,0)),K14-L14+M14),0)</f>
        <v>27.500000000000004</v>
      </c>
      <c r="P14" s="2"/>
      <c r="W14">
        <v>13</v>
      </c>
      <c r="X14">
        <f t="shared" si="0"/>
        <v>55</v>
      </c>
      <c r="Y14">
        <v>45</v>
      </c>
      <c r="Z14" s="5">
        <f t="shared" si="1"/>
        <v>27.500000000000004</v>
      </c>
      <c r="AA14">
        <f>'Tela de entrada'!$G$15</f>
        <v>50</v>
      </c>
      <c r="AB14">
        <f>'Tela de entrada'!$G$14</f>
        <v>2</v>
      </c>
      <c r="AC14" s="5">
        <f t="shared" si="4"/>
        <v>27.500000000000004</v>
      </c>
      <c r="AD14" s="5">
        <f t="shared" si="5"/>
        <v>72.5</v>
      </c>
    </row>
    <row r="15" spans="1:37" x14ac:dyDescent="0.25">
      <c r="A15">
        <v>1</v>
      </c>
      <c r="B15">
        <v>1</v>
      </c>
      <c r="C15">
        <v>1</v>
      </c>
      <c r="D15">
        <v>14</v>
      </c>
      <c r="E15">
        <v>1</v>
      </c>
      <c r="F15" s="1">
        <f>INDEX('Tela de entrada'!$C$13:$C$32,MATCH('Contrato Firme'!D15,'Tela de entrada'!$B$13:$B$32,0),1)</f>
        <v>60</v>
      </c>
      <c r="G15">
        <v>0</v>
      </c>
      <c r="H15">
        <f t="shared" si="2"/>
        <v>60</v>
      </c>
      <c r="I15" s="1">
        <f t="shared" si="3"/>
        <v>7.4999999999999997E-2</v>
      </c>
      <c r="J15" s="1">
        <f>IF('Tela de entrada'!$G$13="carga",('Tela de entrada'!$G$12*20)*I15,'Tela de entrada'!$G$12)</f>
        <v>30</v>
      </c>
      <c r="K15" s="1">
        <f>IF('Tela de entrada'!$G$12&gt;0,IFERROR(MIN('Tela de entrada'!$G$15,MAX(J15,'Tela de entrada'!$G$14)),""),0)</f>
        <v>30</v>
      </c>
      <c r="L15" s="1">
        <f>MAX(0,(SUMIFS($K$2:$K$21,$B$2:$B$21,B15,$A$2:$A$21,A15)-SUMIFS($J$2:$J$21,$B$2:$B$21,B15,$A$2:$A$21,A15)))*((K15-'Tela de entrada'!$G$14)/(IF(SUMIFS($K$2:$K$21,$B$2:$B$21,B15,$A$2:$A$21,A15)-('Tela de entrada'!$G$14*20)=0,1,(SUMIFS($K$2:$K$21,$B$2:$B$21,B15,$A$2:$A$21,A15)-('Tela de entrada'!$G$14*20)))))</f>
        <v>0</v>
      </c>
      <c r="M15" s="1">
        <f>MAX(0,(SUMIFS($J$2:$J$21,$B$2:$B$21,B15,$A$2:$A$21,A15)-SUMIFS($K$2:$K$21,$B$2:$B$21,B15,$A$2:$A$21,A15)))*(('Tela de entrada'!$G$15-K15)/(IF((('Tela de entrada'!$G$15*20)-SUMIFS($K$2:$K$21,$B$2:$B$21,B15,$A$2:$A$21,A15))=0,1,(('Tela de entrada'!$G$15*20)-SUMIFS($K$2:$K$21,$B$2:$B$21,B15,$A$2:$A$21,A15)))))</f>
        <v>0</v>
      </c>
      <c r="N15" s="1">
        <f>IFERROR(IF(SUM('Tela de entrada'!$I$14:$AB$14)&gt;0,INDEX('Tela de entrada'!$I$14:$AB$14,1,MATCH('Contrato Firme'!D15,'Tela de entrada'!$I$13:$AB$13,0)),K15-L15+M15),0)</f>
        <v>30</v>
      </c>
      <c r="P15" s="2"/>
      <c r="W15">
        <v>14</v>
      </c>
      <c r="X15">
        <f t="shared" si="0"/>
        <v>60</v>
      </c>
      <c r="Y15">
        <v>45</v>
      </c>
      <c r="Z15" s="5">
        <f t="shared" si="1"/>
        <v>30</v>
      </c>
      <c r="AA15">
        <f>'Tela de entrada'!$G$15</f>
        <v>50</v>
      </c>
      <c r="AB15">
        <f>'Tela de entrada'!$G$14</f>
        <v>2</v>
      </c>
      <c r="AC15" s="5">
        <f t="shared" si="4"/>
        <v>30</v>
      </c>
      <c r="AD15" s="5">
        <f t="shared" si="5"/>
        <v>75</v>
      </c>
    </row>
    <row r="16" spans="1:37" x14ac:dyDescent="0.25">
      <c r="A16">
        <v>1</v>
      </c>
      <c r="B16">
        <v>1</v>
      </c>
      <c r="C16">
        <v>1</v>
      </c>
      <c r="D16">
        <v>15</v>
      </c>
      <c r="E16">
        <v>1</v>
      </c>
      <c r="F16" s="1">
        <f>INDEX('Tela de entrada'!$C$13:$C$32,MATCH('Contrato Firme'!D16,'Tela de entrada'!$B$13:$B$32,0),1)</f>
        <v>60</v>
      </c>
      <c r="G16">
        <v>0</v>
      </c>
      <c r="H16">
        <f t="shared" si="2"/>
        <v>60</v>
      </c>
      <c r="I16" s="1">
        <f t="shared" si="3"/>
        <v>7.4999999999999997E-2</v>
      </c>
      <c r="J16" s="1">
        <f>IF('Tela de entrada'!$G$13="carga",('Tela de entrada'!$G$12*20)*I16,'Tela de entrada'!$G$12)</f>
        <v>30</v>
      </c>
      <c r="K16" s="1">
        <f>IF('Tela de entrada'!$G$12&gt;0,IFERROR(MIN('Tela de entrada'!$G$15,MAX(J16,'Tela de entrada'!$G$14)),""),0)</f>
        <v>30</v>
      </c>
      <c r="L16" s="1">
        <f>MAX(0,(SUMIFS($K$2:$K$21,$B$2:$B$21,B16,$A$2:$A$21,A16)-SUMIFS($J$2:$J$21,$B$2:$B$21,B16,$A$2:$A$21,A16)))*((K16-'Tela de entrada'!$G$14)/(IF(SUMIFS($K$2:$K$21,$B$2:$B$21,B16,$A$2:$A$21,A16)-('Tela de entrada'!$G$14*20)=0,1,(SUMIFS($K$2:$K$21,$B$2:$B$21,B16,$A$2:$A$21,A16)-('Tela de entrada'!$G$14*20)))))</f>
        <v>0</v>
      </c>
      <c r="M16" s="1">
        <f>MAX(0,(SUMIFS($J$2:$J$21,$B$2:$B$21,B16,$A$2:$A$21,A16)-SUMIFS($K$2:$K$21,$B$2:$B$21,B16,$A$2:$A$21,A16)))*(('Tela de entrada'!$G$15-K16)/(IF((('Tela de entrada'!$G$15*20)-SUMIFS($K$2:$K$21,$B$2:$B$21,B16,$A$2:$A$21,A16))=0,1,(('Tela de entrada'!$G$15*20)-SUMIFS($K$2:$K$21,$B$2:$B$21,B16,$A$2:$A$21,A16)))))</f>
        <v>0</v>
      </c>
      <c r="N16" s="1">
        <f>IFERROR(IF(SUM('Tela de entrada'!$I$14:$AB$14)&gt;0,INDEX('Tela de entrada'!$I$14:$AB$14,1,MATCH('Contrato Firme'!D16,'Tela de entrada'!$I$13:$AB$13,0)),K16-L16+M16),0)</f>
        <v>30</v>
      </c>
      <c r="P16" s="2"/>
      <c r="W16">
        <v>15</v>
      </c>
      <c r="X16">
        <f t="shared" si="0"/>
        <v>60</v>
      </c>
      <c r="Y16">
        <v>45</v>
      </c>
      <c r="Z16" s="5">
        <f t="shared" si="1"/>
        <v>30</v>
      </c>
      <c r="AA16">
        <f>'Tela de entrada'!$G$15</f>
        <v>50</v>
      </c>
      <c r="AB16">
        <f>'Tela de entrada'!$G$14</f>
        <v>2</v>
      </c>
      <c r="AC16" s="5">
        <f t="shared" si="4"/>
        <v>30</v>
      </c>
      <c r="AD16" s="5">
        <f t="shared" si="5"/>
        <v>75</v>
      </c>
    </row>
    <row r="17" spans="1:30" x14ac:dyDescent="0.25">
      <c r="A17">
        <v>1</v>
      </c>
      <c r="B17">
        <v>1</v>
      </c>
      <c r="C17">
        <v>1</v>
      </c>
      <c r="D17">
        <v>16</v>
      </c>
      <c r="E17">
        <v>1</v>
      </c>
      <c r="F17" s="1">
        <f>INDEX('Tela de entrada'!$C$13:$C$32,MATCH('Contrato Firme'!D17,'Tela de entrada'!$B$13:$B$32,0),1)</f>
        <v>50</v>
      </c>
      <c r="G17">
        <v>0</v>
      </c>
      <c r="H17">
        <f t="shared" si="2"/>
        <v>50</v>
      </c>
      <c r="I17" s="1">
        <f t="shared" si="3"/>
        <v>6.25E-2</v>
      </c>
      <c r="J17" s="1">
        <f>IF('Tela de entrada'!$G$13="carga",('Tela de entrada'!$G$12*20)*I17,'Tela de entrada'!$G$12)</f>
        <v>25</v>
      </c>
      <c r="K17" s="1">
        <f>IF('Tela de entrada'!$G$12&gt;0,IFERROR(MIN('Tela de entrada'!$G$15,MAX(J17,'Tela de entrada'!$G$14)),""),0)</f>
        <v>25</v>
      </c>
      <c r="L17" s="1">
        <f>MAX(0,(SUMIFS($K$2:$K$21,$B$2:$B$21,B17,$A$2:$A$21,A17)-SUMIFS($J$2:$J$21,$B$2:$B$21,B17,$A$2:$A$21,A17)))*((K17-'Tela de entrada'!$G$14)/(IF(SUMIFS($K$2:$K$21,$B$2:$B$21,B17,$A$2:$A$21,A17)-('Tela de entrada'!$G$14*20)=0,1,(SUMIFS($K$2:$K$21,$B$2:$B$21,B17,$A$2:$A$21,A17)-('Tela de entrada'!$G$14*20)))))</f>
        <v>0</v>
      </c>
      <c r="M17" s="1">
        <f>MAX(0,(SUMIFS($J$2:$J$21,$B$2:$B$21,B17,$A$2:$A$21,A17)-SUMIFS($K$2:$K$21,$B$2:$B$21,B17,$A$2:$A$21,A17)))*(('Tela de entrada'!$G$15-K17)/(IF((('Tela de entrada'!$G$15*20)-SUMIFS($K$2:$K$21,$B$2:$B$21,B17,$A$2:$A$21,A17))=0,1,(('Tela de entrada'!$G$15*20)-SUMIFS($K$2:$K$21,$B$2:$B$21,B17,$A$2:$A$21,A17)))))</f>
        <v>0</v>
      </c>
      <c r="N17" s="1">
        <f>IFERROR(IF(SUM('Tela de entrada'!$I$14:$AB$14)&gt;0,INDEX('Tela de entrada'!$I$14:$AB$14,1,MATCH('Contrato Firme'!D17,'Tela de entrada'!$I$13:$AB$13,0)),K17-L17+M17),0)</f>
        <v>25</v>
      </c>
      <c r="P17" s="2"/>
      <c r="W17">
        <v>16</v>
      </c>
      <c r="X17">
        <f t="shared" si="0"/>
        <v>50</v>
      </c>
      <c r="Y17">
        <v>45</v>
      </c>
      <c r="Z17" s="5">
        <f t="shared" si="1"/>
        <v>25</v>
      </c>
      <c r="AA17">
        <f>'Tela de entrada'!$G$15</f>
        <v>50</v>
      </c>
      <c r="AB17">
        <f>'Tela de entrada'!$G$14</f>
        <v>2</v>
      </c>
      <c r="AC17" s="5">
        <f t="shared" si="4"/>
        <v>25</v>
      </c>
      <c r="AD17" s="5">
        <f t="shared" si="5"/>
        <v>70</v>
      </c>
    </row>
    <row r="18" spans="1:30" x14ac:dyDescent="0.25">
      <c r="A18">
        <v>1</v>
      </c>
      <c r="B18">
        <v>1</v>
      </c>
      <c r="C18">
        <v>1</v>
      </c>
      <c r="D18">
        <v>17</v>
      </c>
      <c r="E18">
        <v>1</v>
      </c>
      <c r="F18" s="1">
        <f>INDEX('Tela de entrada'!$C$13:$C$32,MATCH('Contrato Firme'!D18,'Tela de entrada'!$B$13:$B$32,0),1)</f>
        <v>45</v>
      </c>
      <c r="G18">
        <v>0</v>
      </c>
      <c r="H18">
        <f t="shared" si="2"/>
        <v>45</v>
      </c>
      <c r="I18" s="1">
        <f t="shared" si="3"/>
        <v>5.6250000000000001E-2</v>
      </c>
      <c r="J18" s="1">
        <f>IF('Tela de entrada'!$G$13="carga",('Tela de entrada'!$G$12*20)*I18,'Tela de entrada'!$G$12)</f>
        <v>22.5</v>
      </c>
      <c r="K18" s="1">
        <f>IF('Tela de entrada'!$G$12&gt;0,IFERROR(MIN('Tela de entrada'!$G$15,MAX(J18,'Tela de entrada'!$G$14)),""),0)</f>
        <v>22.5</v>
      </c>
      <c r="L18" s="1">
        <f>MAX(0,(SUMIFS($K$2:$K$21,$B$2:$B$21,B18,$A$2:$A$21,A18)-SUMIFS($J$2:$J$21,$B$2:$B$21,B18,$A$2:$A$21,A18)))*((K18-'Tela de entrada'!$G$14)/(IF(SUMIFS($K$2:$K$21,$B$2:$B$21,B18,$A$2:$A$21,A18)-('Tela de entrada'!$G$14*20)=0,1,(SUMIFS($K$2:$K$21,$B$2:$B$21,B18,$A$2:$A$21,A18)-('Tela de entrada'!$G$14*20)))))</f>
        <v>0</v>
      </c>
      <c r="M18" s="1">
        <f>MAX(0,(SUMIFS($J$2:$J$21,$B$2:$B$21,B18,$A$2:$A$21,A18)-SUMIFS($K$2:$K$21,$B$2:$B$21,B18,$A$2:$A$21,A18)))*(('Tela de entrada'!$G$15-K18)/(IF((('Tela de entrada'!$G$15*20)-SUMIFS($K$2:$K$21,$B$2:$B$21,B18,$A$2:$A$21,A18))=0,1,(('Tela de entrada'!$G$15*20)-SUMIFS($K$2:$K$21,$B$2:$B$21,B18,$A$2:$A$21,A18)))))</f>
        <v>0</v>
      </c>
      <c r="N18" s="1">
        <f>IFERROR(IF(SUM('Tela de entrada'!$I$14:$AB$14)&gt;0,INDEX('Tela de entrada'!$I$14:$AB$14,1,MATCH('Contrato Firme'!D18,'Tela de entrada'!$I$13:$AB$13,0)),K18-L18+M18),0)</f>
        <v>22.5</v>
      </c>
      <c r="P18" s="2"/>
      <c r="W18">
        <v>17</v>
      </c>
      <c r="X18">
        <f t="shared" si="0"/>
        <v>45</v>
      </c>
      <c r="Y18">
        <v>40</v>
      </c>
      <c r="Z18" s="5">
        <f t="shared" si="1"/>
        <v>22.5</v>
      </c>
      <c r="AA18">
        <f>'Tela de entrada'!$G$15</f>
        <v>50</v>
      </c>
      <c r="AB18">
        <f>'Tela de entrada'!$G$14</f>
        <v>2</v>
      </c>
      <c r="AC18" s="5">
        <f t="shared" si="4"/>
        <v>22.5</v>
      </c>
      <c r="AD18" s="5">
        <f t="shared" si="5"/>
        <v>62.5</v>
      </c>
    </row>
    <row r="19" spans="1:30" x14ac:dyDescent="0.25">
      <c r="A19">
        <v>1</v>
      </c>
      <c r="B19">
        <v>1</v>
      </c>
      <c r="C19">
        <v>1</v>
      </c>
      <c r="D19">
        <v>18</v>
      </c>
      <c r="E19">
        <v>1</v>
      </c>
      <c r="F19" s="1">
        <f>INDEX('Tela de entrada'!$C$13:$C$32,MATCH('Contrato Firme'!D19,'Tela de entrada'!$B$13:$B$32,0),1)</f>
        <v>40</v>
      </c>
      <c r="G19">
        <v>0</v>
      </c>
      <c r="H19">
        <f t="shared" si="2"/>
        <v>40</v>
      </c>
      <c r="I19" s="1">
        <f t="shared" si="3"/>
        <v>0.05</v>
      </c>
      <c r="J19" s="1">
        <f>IF('Tela de entrada'!$G$13="carga",('Tela de entrada'!$G$12*20)*I19,'Tela de entrada'!$G$12)</f>
        <v>20</v>
      </c>
      <c r="K19" s="1">
        <f>IF('Tela de entrada'!$G$12&gt;0,IFERROR(MIN('Tela de entrada'!$G$15,MAX(J19,'Tela de entrada'!$G$14)),""),0)</f>
        <v>20</v>
      </c>
      <c r="L19" s="1">
        <f>MAX(0,(SUMIFS($K$2:$K$21,$B$2:$B$21,B19,$A$2:$A$21,A19)-SUMIFS($J$2:$J$21,$B$2:$B$21,B19,$A$2:$A$21,A19)))*((K19-'Tela de entrada'!$G$14)/(IF(SUMIFS($K$2:$K$21,$B$2:$B$21,B19,$A$2:$A$21,A19)-('Tela de entrada'!$G$14*20)=0,1,(SUMIFS($K$2:$K$21,$B$2:$B$21,B19,$A$2:$A$21,A19)-('Tela de entrada'!$G$14*20)))))</f>
        <v>0</v>
      </c>
      <c r="M19" s="1">
        <f>MAX(0,(SUMIFS($J$2:$J$21,$B$2:$B$21,B19,$A$2:$A$21,A19)-SUMIFS($K$2:$K$21,$B$2:$B$21,B19,$A$2:$A$21,A19)))*(('Tela de entrada'!$G$15-K19)/(IF((('Tela de entrada'!$G$15*20)-SUMIFS($K$2:$K$21,$B$2:$B$21,B19,$A$2:$A$21,A19))=0,1,(('Tela de entrada'!$G$15*20)-SUMIFS($K$2:$K$21,$B$2:$B$21,B19,$A$2:$A$21,A19)))))</f>
        <v>0</v>
      </c>
      <c r="N19" s="1">
        <f>IFERROR(IF(SUM('Tela de entrada'!$I$14:$AB$14)&gt;0,INDEX('Tela de entrada'!$I$14:$AB$14,1,MATCH('Contrato Firme'!D19,'Tela de entrada'!$I$13:$AB$13,0)),K19-L19+M19),0)</f>
        <v>20</v>
      </c>
      <c r="P19" s="2"/>
      <c r="W19">
        <v>18</v>
      </c>
      <c r="X19">
        <f t="shared" si="0"/>
        <v>40</v>
      </c>
      <c r="Y19">
        <v>40</v>
      </c>
      <c r="Z19" s="5">
        <f t="shared" si="1"/>
        <v>20</v>
      </c>
      <c r="AA19">
        <f>'Tela de entrada'!$G$15</f>
        <v>50</v>
      </c>
      <c r="AB19">
        <f>'Tela de entrada'!$G$14</f>
        <v>2</v>
      </c>
      <c r="AC19" s="5">
        <f t="shared" si="4"/>
        <v>20</v>
      </c>
      <c r="AD19" s="5">
        <f t="shared" si="5"/>
        <v>60</v>
      </c>
    </row>
    <row r="20" spans="1:30" x14ac:dyDescent="0.25">
      <c r="A20">
        <v>1</v>
      </c>
      <c r="B20">
        <v>1</v>
      </c>
      <c r="C20">
        <v>1</v>
      </c>
      <c r="D20">
        <v>19</v>
      </c>
      <c r="E20">
        <v>1</v>
      </c>
      <c r="F20" s="1">
        <f>INDEX('Tela de entrada'!$C$13:$C$32,MATCH('Contrato Firme'!D20,'Tela de entrada'!$B$13:$B$32,0),1)</f>
        <v>30</v>
      </c>
      <c r="G20">
        <v>0</v>
      </c>
      <c r="H20">
        <f t="shared" si="2"/>
        <v>30</v>
      </c>
      <c r="I20" s="1">
        <f t="shared" si="3"/>
        <v>3.7499999999999999E-2</v>
      </c>
      <c r="J20" s="1">
        <f>IF('Tela de entrada'!$G$13="carga",('Tela de entrada'!$G$12*20)*I20,'Tela de entrada'!$G$12)</f>
        <v>15</v>
      </c>
      <c r="K20" s="1">
        <f>IF('Tela de entrada'!$G$12&gt;0,IFERROR(MIN('Tela de entrada'!$G$15,MAX(J20,'Tela de entrada'!$G$14)),""),0)</f>
        <v>15</v>
      </c>
      <c r="L20" s="1">
        <f>MAX(0,(SUMIFS($K$2:$K$21,$B$2:$B$21,B20,$A$2:$A$21,A20)-SUMIFS($J$2:$J$21,$B$2:$B$21,B20,$A$2:$A$21,A20)))*((K20-'Tela de entrada'!$G$14)/(IF(SUMIFS($K$2:$K$21,$B$2:$B$21,B20,$A$2:$A$21,A20)-('Tela de entrada'!$G$14*20)=0,1,(SUMIFS($K$2:$K$21,$B$2:$B$21,B20,$A$2:$A$21,A20)-('Tela de entrada'!$G$14*20)))))</f>
        <v>0</v>
      </c>
      <c r="M20" s="1">
        <f>MAX(0,(SUMIFS($J$2:$J$21,$B$2:$B$21,B20,$A$2:$A$21,A20)-SUMIFS($K$2:$K$21,$B$2:$B$21,B20,$A$2:$A$21,A20)))*(('Tela de entrada'!$G$15-K20)/(IF((('Tela de entrada'!$G$15*20)-SUMIFS($K$2:$K$21,$B$2:$B$21,B20,$A$2:$A$21,A20))=0,1,(('Tela de entrada'!$G$15*20)-SUMIFS($K$2:$K$21,$B$2:$B$21,B20,$A$2:$A$21,A20)))))</f>
        <v>0</v>
      </c>
      <c r="N20" s="1">
        <f>IFERROR(IF(SUM('Tela de entrada'!$I$14:$AB$14)&gt;0,INDEX('Tela de entrada'!$I$14:$AB$14,1,MATCH('Contrato Firme'!D20,'Tela de entrada'!$I$13:$AB$13,0)),K20-L20+M20),0)</f>
        <v>15</v>
      </c>
      <c r="P20" s="2"/>
      <c r="W20">
        <v>19</v>
      </c>
      <c r="X20">
        <f t="shared" si="0"/>
        <v>30</v>
      </c>
      <c r="Y20">
        <v>25</v>
      </c>
      <c r="Z20" s="5">
        <f t="shared" si="1"/>
        <v>15</v>
      </c>
      <c r="AA20">
        <f>'Tela de entrada'!$G$15</f>
        <v>50</v>
      </c>
      <c r="AB20">
        <f>'Tela de entrada'!$G$14</f>
        <v>2</v>
      </c>
      <c r="AC20" s="5">
        <f t="shared" si="4"/>
        <v>15</v>
      </c>
      <c r="AD20" s="5">
        <f t="shared" si="5"/>
        <v>40</v>
      </c>
    </row>
    <row r="21" spans="1:30" x14ac:dyDescent="0.25">
      <c r="A21">
        <v>1</v>
      </c>
      <c r="B21">
        <v>1</v>
      </c>
      <c r="C21">
        <v>1</v>
      </c>
      <c r="D21">
        <v>20</v>
      </c>
      <c r="E21">
        <v>1</v>
      </c>
      <c r="F21" s="1">
        <f>INDEX('Tela de entrada'!$C$13:$C$32,MATCH('Contrato Firme'!D21,'Tela de entrada'!$B$13:$B$32,0),1)</f>
        <v>25</v>
      </c>
      <c r="G21">
        <v>0</v>
      </c>
      <c r="H21">
        <f t="shared" si="2"/>
        <v>25</v>
      </c>
      <c r="I21" s="1">
        <f t="shared" si="3"/>
        <v>3.125E-2</v>
      </c>
      <c r="J21" s="1">
        <f>IF('Tela de entrada'!$G$13="carga",('Tela de entrada'!$G$12*20)*I21,'Tela de entrada'!$G$12)</f>
        <v>12.5</v>
      </c>
      <c r="K21" s="1">
        <f>IF('Tela de entrada'!$G$12&gt;0,IFERROR(MIN('Tela de entrada'!$G$15,MAX(J21,'Tela de entrada'!$G$14)),""),0)</f>
        <v>12.5</v>
      </c>
      <c r="L21" s="1">
        <f>MAX(0,(SUMIFS($K$2:$K$21,$B$2:$B$21,B21,$A$2:$A$21,A21)-SUMIFS($J$2:$J$21,$B$2:$B$21,B21,$A$2:$A$21,A21)))*((K21-'Tela de entrada'!$G$14)/(IF(SUMIFS($K$2:$K$21,$B$2:$B$21,B21,$A$2:$A$21,A21)-('Tela de entrada'!$G$14*20)=0,1,(SUMIFS($K$2:$K$21,$B$2:$B$21,B21,$A$2:$A$21,A21)-('Tela de entrada'!$G$14*20)))))</f>
        <v>0</v>
      </c>
      <c r="M21" s="1">
        <f>MAX(0,(SUMIFS($J$2:$J$21,$B$2:$B$21,B21,$A$2:$A$21,A21)-SUMIFS($K$2:$K$21,$B$2:$B$21,B21,$A$2:$A$21,A21)))*(('Tela de entrada'!$G$15-K21)/(IF((('Tela de entrada'!$G$15*20)-SUMIFS($K$2:$K$21,$B$2:$B$21,B21,$A$2:$A$21,A21))=0,1,(('Tela de entrada'!$G$15*20)-SUMIFS($K$2:$K$21,$B$2:$B$21,B21,$A$2:$A$21,A21)))))</f>
        <v>0</v>
      </c>
      <c r="N21" s="1">
        <f>IFERROR(IF(SUM('Tela de entrada'!$I$14:$AB$14)&gt;0,INDEX('Tela de entrada'!$I$14:$AB$14,1,MATCH('Contrato Firme'!D21,'Tela de entrada'!$I$13:$AB$13,0)),K21-L21+M21),0)</f>
        <v>12.5</v>
      </c>
      <c r="P21" s="2"/>
      <c r="W21">
        <v>20</v>
      </c>
      <c r="X21">
        <f t="shared" si="0"/>
        <v>25</v>
      </c>
      <c r="Y21">
        <v>25</v>
      </c>
      <c r="Z21" s="5">
        <f t="shared" si="1"/>
        <v>12.5</v>
      </c>
      <c r="AA21">
        <f>'Tela de entrada'!$G$15</f>
        <v>50</v>
      </c>
      <c r="AB21">
        <f>'Tela de entrada'!$G$14</f>
        <v>2</v>
      </c>
      <c r="AC21" s="5">
        <f t="shared" si="4"/>
        <v>12.5</v>
      </c>
      <c r="AD21" s="5">
        <f t="shared" si="5"/>
        <v>37.5</v>
      </c>
    </row>
    <row r="23" spans="1:30" x14ac:dyDescent="0.25">
      <c r="Y23">
        <f>600/20</f>
        <v>30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pane ySplit="1" topLeftCell="A2" activePane="bottomLeft" state="frozen"/>
      <selection pane="bottomLeft" activeCell="Q2" sqref="Q2"/>
    </sheetView>
  </sheetViews>
  <sheetFormatPr defaultRowHeight="15" x14ac:dyDescent="0.25"/>
  <cols>
    <col min="1" max="1" width="4.85546875" customWidth="1"/>
    <col min="2" max="2" width="3" bestFit="1" customWidth="1"/>
    <col min="5" max="5" width="10.28515625" customWidth="1"/>
    <col min="13" max="13" width="10.5703125" bestFit="1" customWidth="1"/>
    <col min="15" max="15" width="11.85546875" bestFit="1" customWidth="1"/>
  </cols>
  <sheetData>
    <row r="1" spans="1:17" x14ac:dyDescent="0.25">
      <c r="C1" t="s">
        <v>11</v>
      </c>
      <c r="D1" t="s">
        <v>10</v>
      </c>
      <c r="E1" t="s">
        <v>59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</row>
    <row r="2" spans="1:17" x14ac:dyDescent="0.25">
      <c r="A2" t="str">
        <f>IF(D2=1,"Contrato 1","Contrato 2")</f>
        <v>Contrato 1</v>
      </c>
      <c r="B2" t="str">
        <f>CONCATENATE(IF(D2=1,"Contrato 1","Contrato 2"),G2)</f>
        <v>Contrato 11</v>
      </c>
      <c r="C2">
        <v>1</v>
      </c>
      <c r="D2">
        <v>1</v>
      </c>
      <c r="E2">
        <f>IF(AND(A2='Tela de entrada'!$F$33,'Tela de entrada'!$G$36=1),1,IF(AND(A2='Tela de entrada'!$F$33,'Tela de entrada'!$G$36="",'Tela de entrada'!$G$31=2),1,IF(AND('Tela de entrada'!$F$33='Contrato Flexível Prioridade'!A2,'Tela de entrada'!$G$36="",'Tela de entrada'!$G$31=""),2,IF(AND(A2='Tela de entrada'!$F$28,'Tela de entrada'!$G$31=1),1,IF(AND('Tela de entrada'!$F$28='Contrato Flexível Prioridade'!A2,'Tela de entrada'!$G$31=2),2,IF(AND('Tela de entrada'!$F$28='Contrato Flexível Prioridade'!A2,'Tela de entrada'!$G$31="",'Tela de entrada'!$G$36&lt;&gt;1),1,IF(AND('Tela de entrada'!$F$28='Contrato Flexível Prioridade'!A2,'Tela de entrada'!$G$36=""),1,2)))))))</f>
        <v>1</v>
      </c>
      <c r="F2">
        <v>1</v>
      </c>
      <c r="G2">
        <v>1</v>
      </c>
      <c r="H2">
        <v>1</v>
      </c>
      <c r="I2" s="1">
        <f>INDEX('Tela de entrada'!$C$13:$C$32,MATCH(G2,'Tela de entrada'!$B$13:$B$32,0),1)</f>
        <v>5</v>
      </c>
      <c r="J2">
        <v>0</v>
      </c>
      <c r="K2">
        <f>I2-J2</f>
        <v>5</v>
      </c>
      <c r="L2" s="1">
        <f>SUMIFS('Contrato Flexível Percentual'!$R$2:$R$21,'Contrato Flexível Percentual'!$C$2:$C$21,'Contrato Flexível Prioridade'!F2,'Contrato Flexível Percentual'!$D$2:$D$21,'Contrato Flexível Prioridade'!G2)+SUMIFS('Contrato Firme'!N$2:N$21,'Contrato Firme'!$C$2:$C$21,'Contrato Flexível Prioridade'!F2,'Contrato Flexível Percentual'!$D$2:$D$21,'Contrato Flexível Prioridade'!G2)+'Tela de entrada'!$G$29+'Tela de entrada'!$G$34</f>
        <v>4.5</v>
      </c>
      <c r="M2" s="1">
        <f>MAX(I2-L2,0)</f>
        <v>0.5</v>
      </c>
      <c r="N2" s="1">
        <f>IF(D2=1,'Tela de entrada'!$G$30-'Tela de entrada'!$G$29,'Tela de entrada'!$G$35-'Tela de entrada'!$G$34)</f>
        <v>9</v>
      </c>
      <c r="O2" s="1">
        <f>IF(E2=1,M2,MIN(N2,M2-MIN(M2,SUMIFS($N$2:$N$41,$D$2:$D$41,D2-1,$G$2:$G$41,G2,$E$2:$E$41,1))))</f>
        <v>0.5</v>
      </c>
      <c r="P2" s="1">
        <f>IF(O2&gt;0,MIN(O2,N2),0)</f>
        <v>0.5</v>
      </c>
      <c r="Q2" s="1">
        <f>IF(D2=1,'Tela de entrada'!$G$29+'Contrato Flexível Prioridade'!P2,'Tela de entrada'!$G$34+P2)</f>
        <v>1.5</v>
      </c>
    </row>
    <row r="3" spans="1:17" x14ac:dyDescent="0.25">
      <c r="A3" t="str">
        <f t="shared" ref="A3:A41" si="0">IF(D3=1,"Contrato 1","Contrato 2")</f>
        <v>Contrato 1</v>
      </c>
      <c r="B3" t="str">
        <f t="shared" ref="B3:B41" si="1">CONCATENATE(IF(D3=1,"Contrato 1","Contrato 2"),G3)</f>
        <v>Contrato 12</v>
      </c>
      <c r="C3">
        <v>1</v>
      </c>
      <c r="D3">
        <v>1</v>
      </c>
      <c r="E3">
        <f>IF(AND(A3='Tela de entrada'!$F$33,'Tela de entrada'!$G$36=1),1,IF(AND(A3='Tela de entrada'!$F$33,'Tela de entrada'!$G$36="",'Tela de entrada'!$G$31=2),1,IF(AND('Tela de entrada'!$F$33='Contrato Flexível Prioridade'!A3,'Tela de entrada'!$G$36="",'Tela de entrada'!$G$31=""),2,IF(AND(A3='Tela de entrada'!$F$28,'Tela de entrada'!$G$31=1),1,IF(AND('Tela de entrada'!$F$28='Contrato Flexível Prioridade'!A3,'Tela de entrada'!$G$31=2),2,IF(AND('Tela de entrada'!$F$28='Contrato Flexível Prioridade'!A3,'Tela de entrada'!$G$31="",'Tela de entrada'!$G$36&lt;&gt;1),1,IF(AND('Tela de entrada'!$F$28='Contrato Flexível Prioridade'!A3,'Tela de entrada'!$G$36=""),1,2)))))))</f>
        <v>1</v>
      </c>
      <c r="F3">
        <v>1</v>
      </c>
      <c r="G3">
        <v>2</v>
      </c>
      <c r="H3">
        <v>1</v>
      </c>
      <c r="I3" s="1">
        <f>INDEX('Tela de entrada'!$C$13:$C$32,MATCH(G3,'Tela de entrada'!$B$13:$B$32,0),1)</f>
        <v>5</v>
      </c>
      <c r="J3">
        <v>0</v>
      </c>
      <c r="K3">
        <f t="shared" ref="K3:K41" si="2">I3-J3</f>
        <v>5</v>
      </c>
      <c r="L3" s="1">
        <f>SUMIFS('Contrato Flexível Percentual'!$R$2:$R$21,'Contrato Flexível Percentual'!$C$2:$C$21,'Contrato Flexível Prioridade'!F3,'Contrato Flexível Percentual'!$D$2:$D$21,'Contrato Flexível Prioridade'!G3)+SUMIFS('Contrato Firme'!N$2:N$21,'Contrato Firme'!$C$2:$C$21,'Contrato Flexível Prioridade'!F3,'Contrato Flexível Percentual'!$D$2:$D$21,'Contrato Flexível Prioridade'!G3)+'Tela de entrada'!$G$29+'Tela de entrada'!$G$34</f>
        <v>4.5</v>
      </c>
      <c r="M3" s="1">
        <f t="shared" ref="M3:M41" si="3">MAX(I3-L3,0)</f>
        <v>0.5</v>
      </c>
      <c r="N3" s="1">
        <f>IF(D3=1,'Tela de entrada'!$G$30-'Tela de entrada'!$G$29,'Tela de entrada'!$G$35-'Tela de entrada'!$G$34)</f>
        <v>9</v>
      </c>
      <c r="O3" s="1">
        <f t="shared" ref="O3:O41" si="4">IF(E3=1,M3,MIN(N3,M3-MIN(M3,SUMIFS($N$2:$N$41,$D$2:$D$41,D3-1,$G$2:$G$41,G3,$E$2:$E$41,1))))</f>
        <v>0.5</v>
      </c>
      <c r="P3" s="1">
        <f t="shared" ref="P3:P41" si="5">IF(O3&gt;0,MIN(O3,N3),0)</f>
        <v>0.5</v>
      </c>
      <c r="Q3" s="1">
        <f>IF(D3=1,'Tela de entrada'!$G$29+'Contrato Flexível Prioridade'!P3,'Tela de entrada'!$G$34+P3)</f>
        <v>1.5</v>
      </c>
    </row>
    <row r="4" spans="1:17" x14ac:dyDescent="0.25">
      <c r="A4" t="str">
        <f t="shared" si="0"/>
        <v>Contrato 1</v>
      </c>
      <c r="B4" t="str">
        <f t="shared" si="1"/>
        <v>Contrato 13</v>
      </c>
      <c r="C4">
        <v>1</v>
      </c>
      <c r="D4">
        <v>1</v>
      </c>
      <c r="E4">
        <f>IF(AND(A4='Tela de entrada'!$F$33,'Tela de entrada'!$G$36=1),1,IF(AND(A4='Tela de entrada'!$F$33,'Tela de entrada'!$G$36="",'Tela de entrada'!$G$31=2),1,IF(AND('Tela de entrada'!$F$33='Contrato Flexível Prioridade'!A4,'Tela de entrada'!$G$36="",'Tela de entrada'!$G$31=""),2,IF(AND(A4='Tela de entrada'!$F$28,'Tela de entrada'!$G$31=1),1,IF(AND('Tela de entrada'!$F$28='Contrato Flexível Prioridade'!A4,'Tela de entrada'!$G$31=2),2,IF(AND('Tela de entrada'!$F$28='Contrato Flexível Prioridade'!A4,'Tela de entrada'!$G$31="",'Tela de entrada'!$G$36&lt;&gt;1),1,IF(AND('Tela de entrada'!$F$28='Contrato Flexível Prioridade'!A4,'Tela de entrada'!$G$36=""),1,2)))))))</f>
        <v>1</v>
      </c>
      <c r="F4">
        <v>1</v>
      </c>
      <c r="G4">
        <v>3</v>
      </c>
      <c r="H4">
        <v>1</v>
      </c>
      <c r="I4" s="1">
        <f>INDEX('Tela de entrada'!$C$13:$C$32,MATCH(G4,'Tela de entrada'!$B$13:$B$32,0),1)</f>
        <v>15</v>
      </c>
      <c r="J4">
        <v>0</v>
      </c>
      <c r="K4">
        <f t="shared" si="2"/>
        <v>15</v>
      </c>
      <c r="L4" s="1">
        <f>SUMIFS('Contrato Flexível Percentual'!$R$2:$R$21,'Contrato Flexível Percentual'!$C$2:$C$21,'Contrato Flexível Prioridade'!F4,'Contrato Flexível Percentual'!$D$2:$D$21,'Contrato Flexível Prioridade'!G4)+SUMIFS('Contrato Firme'!N$2:N$21,'Contrato Firme'!$C$2:$C$21,'Contrato Flexível Prioridade'!F4,'Contrato Flexível Percentual'!$D$2:$D$21,'Contrato Flexível Prioridade'!G4)+'Tela de entrada'!$G$29+'Tela de entrada'!$G$34</f>
        <v>11.5</v>
      </c>
      <c r="M4" s="1">
        <f t="shared" si="3"/>
        <v>3.5</v>
      </c>
      <c r="N4" s="1">
        <f>IF(D4=1,'Tela de entrada'!$G$30-'Tela de entrada'!$G$29,'Tela de entrada'!$G$35-'Tela de entrada'!$G$34)</f>
        <v>9</v>
      </c>
      <c r="O4" s="1">
        <f t="shared" si="4"/>
        <v>3.5</v>
      </c>
      <c r="P4" s="1">
        <f t="shared" si="5"/>
        <v>3.5</v>
      </c>
      <c r="Q4" s="1">
        <f>IF(D4=1,'Tela de entrada'!$G$29+'Contrato Flexível Prioridade'!P4,'Tela de entrada'!$G$34+P4)</f>
        <v>4.5</v>
      </c>
    </row>
    <row r="5" spans="1:17" x14ac:dyDescent="0.25">
      <c r="A5" t="str">
        <f t="shared" si="0"/>
        <v>Contrato 1</v>
      </c>
      <c r="B5" t="str">
        <f t="shared" si="1"/>
        <v>Contrato 14</v>
      </c>
      <c r="C5">
        <v>1</v>
      </c>
      <c r="D5">
        <v>1</v>
      </c>
      <c r="E5">
        <f>IF(AND(A5='Tela de entrada'!$F$33,'Tela de entrada'!$G$36=1),1,IF(AND(A5='Tela de entrada'!$F$33,'Tela de entrada'!$G$36="",'Tela de entrada'!$G$31=2),1,IF(AND('Tela de entrada'!$F$33='Contrato Flexível Prioridade'!A5,'Tela de entrada'!$G$36="",'Tela de entrada'!$G$31=""),2,IF(AND(A5='Tela de entrada'!$F$28,'Tela de entrada'!$G$31=1),1,IF(AND('Tela de entrada'!$F$28='Contrato Flexível Prioridade'!A5,'Tela de entrada'!$G$31=2),2,IF(AND('Tela de entrada'!$F$28='Contrato Flexível Prioridade'!A5,'Tela de entrada'!$G$31="",'Tela de entrada'!$G$36&lt;&gt;1),1,IF(AND('Tela de entrada'!$F$28='Contrato Flexível Prioridade'!A5,'Tela de entrada'!$G$36=""),1,2)))))))</f>
        <v>1</v>
      </c>
      <c r="F5">
        <v>1</v>
      </c>
      <c r="G5">
        <v>4</v>
      </c>
      <c r="H5">
        <v>1</v>
      </c>
      <c r="I5" s="1">
        <f>INDEX('Tela de entrada'!$C$13:$C$32,MATCH(G5,'Tela de entrada'!$B$13:$B$32,0),1)</f>
        <v>15</v>
      </c>
      <c r="J5">
        <v>0</v>
      </c>
      <c r="K5">
        <f t="shared" si="2"/>
        <v>15</v>
      </c>
      <c r="L5" s="1">
        <f>SUMIFS('Contrato Flexível Percentual'!$R$2:$R$21,'Contrato Flexível Percentual'!$C$2:$C$21,'Contrato Flexível Prioridade'!F5,'Contrato Flexível Percentual'!$D$2:$D$21,'Contrato Flexível Prioridade'!G5)+SUMIFS('Contrato Firme'!N$2:N$21,'Contrato Firme'!$C$2:$C$21,'Contrato Flexível Prioridade'!F5,'Contrato Flexível Percentual'!$D$2:$D$21,'Contrato Flexível Prioridade'!G5)+'Tela de entrada'!$G$29+'Tela de entrada'!$G$34</f>
        <v>11.5</v>
      </c>
      <c r="M5" s="1">
        <f t="shared" si="3"/>
        <v>3.5</v>
      </c>
      <c r="N5" s="1">
        <f>IF(D5=1,'Tela de entrada'!$G$30-'Tela de entrada'!$G$29,'Tela de entrada'!$G$35-'Tela de entrada'!$G$34)</f>
        <v>9</v>
      </c>
      <c r="O5" s="1">
        <f t="shared" si="4"/>
        <v>3.5</v>
      </c>
      <c r="P5" s="1">
        <f t="shared" si="5"/>
        <v>3.5</v>
      </c>
      <c r="Q5" s="1">
        <f>IF(D5=1,'Tela de entrada'!$G$29+'Contrato Flexível Prioridade'!P5,'Tela de entrada'!$G$34+P5)</f>
        <v>4.5</v>
      </c>
    </row>
    <row r="6" spans="1:17" x14ac:dyDescent="0.25">
      <c r="A6" t="str">
        <f t="shared" si="0"/>
        <v>Contrato 1</v>
      </c>
      <c r="B6" t="str">
        <f t="shared" si="1"/>
        <v>Contrato 15</v>
      </c>
      <c r="C6">
        <v>1</v>
      </c>
      <c r="D6">
        <v>1</v>
      </c>
      <c r="E6">
        <f>IF(AND(A6='Tela de entrada'!$F$33,'Tela de entrada'!$G$36=1),1,IF(AND(A6='Tela de entrada'!$F$33,'Tela de entrada'!$G$36="",'Tela de entrada'!$G$31=2),1,IF(AND('Tela de entrada'!$F$33='Contrato Flexível Prioridade'!A6,'Tela de entrada'!$G$36="",'Tela de entrada'!$G$31=""),2,IF(AND(A6='Tela de entrada'!$F$28,'Tela de entrada'!$G$31=1),1,IF(AND('Tela de entrada'!$F$28='Contrato Flexível Prioridade'!A6,'Tela de entrada'!$G$31=2),2,IF(AND('Tela de entrada'!$F$28='Contrato Flexível Prioridade'!A6,'Tela de entrada'!$G$31="",'Tela de entrada'!$G$36&lt;&gt;1),1,IF(AND('Tela de entrada'!$F$28='Contrato Flexível Prioridade'!A6,'Tela de entrada'!$G$36=""),1,2)))))))</f>
        <v>1</v>
      </c>
      <c r="F6">
        <v>1</v>
      </c>
      <c r="G6">
        <v>5</v>
      </c>
      <c r="H6">
        <v>1</v>
      </c>
      <c r="I6" s="1">
        <f>INDEX('Tela de entrada'!$C$13:$C$32,MATCH(G6,'Tela de entrada'!$B$13:$B$32,0),1)</f>
        <v>35</v>
      </c>
      <c r="J6">
        <v>0</v>
      </c>
      <c r="K6">
        <f t="shared" si="2"/>
        <v>35</v>
      </c>
      <c r="L6" s="1">
        <f>SUMIFS('Contrato Flexível Percentual'!$R$2:$R$21,'Contrato Flexível Percentual'!$C$2:$C$21,'Contrato Flexível Prioridade'!F6,'Contrato Flexível Percentual'!$D$2:$D$21,'Contrato Flexível Prioridade'!G6)+SUMIFS('Contrato Firme'!N$2:N$21,'Contrato Firme'!$C$2:$C$21,'Contrato Flexível Prioridade'!F6,'Contrato Flexível Percentual'!$D$2:$D$21,'Contrato Flexível Prioridade'!G6)+'Tela de entrada'!$G$29+'Tela de entrada'!$G$34</f>
        <v>25.5</v>
      </c>
      <c r="M6" s="1">
        <f t="shared" si="3"/>
        <v>9.5</v>
      </c>
      <c r="N6" s="1">
        <f>IF(D6=1,'Tela de entrada'!$G$30-'Tela de entrada'!$G$29,'Tela de entrada'!$G$35-'Tela de entrada'!$G$34)</f>
        <v>9</v>
      </c>
      <c r="O6" s="1">
        <f t="shared" si="4"/>
        <v>9.5</v>
      </c>
      <c r="P6" s="1">
        <f t="shared" si="5"/>
        <v>9</v>
      </c>
      <c r="Q6" s="1">
        <f>IF(D6=1,'Tela de entrada'!$G$29+'Contrato Flexível Prioridade'!P6,'Tela de entrada'!$G$34+P6)</f>
        <v>10</v>
      </c>
    </row>
    <row r="7" spans="1:17" x14ac:dyDescent="0.25">
      <c r="A7" t="str">
        <f t="shared" si="0"/>
        <v>Contrato 1</v>
      </c>
      <c r="B7" t="str">
        <f t="shared" si="1"/>
        <v>Contrato 16</v>
      </c>
      <c r="C7">
        <v>1</v>
      </c>
      <c r="D7">
        <v>1</v>
      </c>
      <c r="E7">
        <f>IF(AND(A7='Tela de entrada'!$F$33,'Tela de entrada'!$G$36=1),1,IF(AND(A7='Tela de entrada'!$F$33,'Tela de entrada'!$G$36="",'Tela de entrada'!$G$31=2),1,IF(AND('Tela de entrada'!$F$33='Contrato Flexível Prioridade'!A7,'Tela de entrada'!$G$36="",'Tela de entrada'!$G$31=""),2,IF(AND(A7='Tela de entrada'!$F$28,'Tela de entrada'!$G$31=1),1,IF(AND('Tela de entrada'!$F$28='Contrato Flexível Prioridade'!A7,'Tela de entrada'!$G$31=2),2,IF(AND('Tela de entrada'!$F$28='Contrato Flexível Prioridade'!A7,'Tela de entrada'!$G$31="",'Tela de entrada'!$G$36&lt;&gt;1),1,IF(AND('Tela de entrada'!$F$28='Contrato Flexível Prioridade'!A7,'Tela de entrada'!$G$36=""),1,2)))))))</f>
        <v>1</v>
      </c>
      <c r="F7">
        <v>1</v>
      </c>
      <c r="G7">
        <v>6</v>
      </c>
      <c r="H7">
        <v>1</v>
      </c>
      <c r="I7" s="1">
        <f>INDEX('Tela de entrada'!$C$13:$C$32,MATCH(G7,'Tela de entrada'!$B$13:$B$32,0),1)</f>
        <v>35</v>
      </c>
      <c r="J7">
        <v>0</v>
      </c>
      <c r="K7">
        <f t="shared" si="2"/>
        <v>35</v>
      </c>
      <c r="L7" s="1">
        <f>SUMIFS('Contrato Flexível Percentual'!$R$2:$R$21,'Contrato Flexível Percentual'!$C$2:$C$21,'Contrato Flexível Prioridade'!F7,'Contrato Flexível Percentual'!$D$2:$D$21,'Contrato Flexível Prioridade'!G7)+SUMIFS('Contrato Firme'!N$2:N$21,'Contrato Firme'!$C$2:$C$21,'Contrato Flexível Prioridade'!F7,'Contrato Flexível Percentual'!$D$2:$D$21,'Contrato Flexível Prioridade'!G7)+'Tela de entrada'!$G$29+'Tela de entrada'!$G$34</f>
        <v>25.5</v>
      </c>
      <c r="M7" s="1">
        <f t="shared" si="3"/>
        <v>9.5</v>
      </c>
      <c r="N7" s="1">
        <f>IF(D7=1,'Tela de entrada'!$G$30-'Tela de entrada'!$G$29,'Tela de entrada'!$G$35-'Tela de entrada'!$G$34)</f>
        <v>9</v>
      </c>
      <c r="O7" s="1">
        <f t="shared" si="4"/>
        <v>9.5</v>
      </c>
      <c r="P7" s="1">
        <f t="shared" si="5"/>
        <v>9</v>
      </c>
      <c r="Q7" s="1">
        <f>IF(D7=1,'Tela de entrada'!$G$29+'Contrato Flexível Prioridade'!P7,'Tela de entrada'!$G$34+P7)</f>
        <v>10</v>
      </c>
    </row>
    <row r="8" spans="1:17" x14ac:dyDescent="0.25">
      <c r="A8" t="str">
        <f t="shared" si="0"/>
        <v>Contrato 1</v>
      </c>
      <c r="B8" t="str">
        <f t="shared" si="1"/>
        <v>Contrato 17</v>
      </c>
      <c r="C8">
        <v>1</v>
      </c>
      <c r="D8">
        <v>1</v>
      </c>
      <c r="E8">
        <f>IF(AND(A8='Tela de entrada'!$F$33,'Tela de entrada'!$G$36=1),1,IF(AND(A8='Tela de entrada'!$F$33,'Tela de entrada'!$G$36="",'Tela de entrada'!$G$31=2),1,IF(AND('Tela de entrada'!$F$33='Contrato Flexível Prioridade'!A8,'Tela de entrada'!$G$36="",'Tela de entrada'!$G$31=""),2,IF(AND(A8='Tela de entrada'!$F$28,'Tela de entrada'!$G$31=1),1,IF(AND('Tela de entrada'!$F$28='Contrato Flexível Prioridade'!A8,'Tela de entrada'!$G$31=2),2,IF(AND('Tela de entrada'!$F$28='Contrato Flexível Prioridade'!A8,'Tela de entrada'!$G$31="",'Tela de entrada'!$G$36&lt;&gt;1),1,IF(AND('Tela de entrada'!$F$28='Contrato Flexível Prioridade'!A8,'Tela de entrada'!$G$36=""),1,2)))))))</f>
        <v>1</v>
      </c>
      <c r="F8">
        <v>1</v>
      </c>
      <c r="G8">
        <v>7</v>
      </c>
      <c r="H8">
        <v>1</v>
      </c>
      <c r="I8" s="1">
        <f>INDEX('Tela de entrada'!$C$13:$C$32,MATCH(G8,'Tela de entrada'!$B$13:$B$32,0),1)</f>
        <v>40</v>
      </c>
      <c r="J8">
        <v>0</v>
      </c>
      <c r="K8">
        <f t="shared" si="2"/>
        <v>40</v>
      </c>
      <c r="L8" s="1">
        <f>SUMIFS('Contrato Flexível Percentual'!$R$2:$R$21,'Contrato Flexível Percentual'!$C$2:$C$21,'Contrato Flexível Prioridade'!F8,'Contrato Flexível Percentual'!$D$2:$D$21,'Contrato Flexível Prioridade'!G8)+SUMIFS('Contrato Firme'!N$2:N$21,'Contrato Firme'!$C$2:$C$21,'Contrato Flexível Prioridade'!F8,'Contrato Flexível Percentual'!$D$2:$D$21,'Contrato Flexível Prioridade'!G8)+'Tela de entrada'!$G$29+'Tela de entrada'!$G$34</f>
        <v>29</v>
      </c>
      <c r="M8" s="1">
        <f t="shared" si="3"/>
        <v>11</v>
      </c>
      <c r="N8" s="1">
        <f>IF(D8=1,'Tela de entrada'!$G$30-'Tela de entrada'!$G$29,'Tela de entrada'!$G$35-'Tela de entrada'!$G$34)</f>
        <v>9</v>
      </c>
      <c r="O8" s="1">
        <f t="shared" si="4"/>
        <v>11</v>
      </c>
      <c r="P8" s="1">
        <f t="shared" si="5"/>
        <v>9</v>
      </c>
      <c r="Q8" s="1">
        <f>IF(D8=1,'Tela de entrada'!$G$29+'Contrato Flexível Prioridade'!P8,'Tela de entrada'!$G$34+P8)</f>
        <v>10</v>
      </c>
    </row>
    <row r="9" spans="1:17" x14ac:dyDescent="0.25">
      <c r="A9" t="str">
        <f t="shared" si="0"/>
        <v>Contrato 1</v>
      </c>
      <c r="B9" t="str">
        <f t="shared" si="1"/>
        <v>Contrato 18</v>
      </c>
      <c r="C9">
        <v>1</v>
      </c>
      <c r="D9">
        <v>1</v>
      </c>
      <c r="E9">
        <f>IF(AND(A9='Tela de entrada'!$F$33,'Tela de entrada'!$G$36=1),1,IF(AND(A9='Tela de entrada'!$F$33,'Tela de entrada'!$G$36="",'Tela de entrada'!$G$31=2),1,IF(AND('Tela de entrada'!$F$33='Contrato Flexível Prioridade'!A9,'Tela de entrada'!$G$36="",'Tela de entrada'!$G$31=""),2,IF(AND(A9='Tela de entrada'!$F$28,'Tela de entrada'!$G$31=1),1,IF(AND('Tela de entrada'!$F$28='Contrato Flexível Prioridade'!A9,'Tela de entrada'!$G$31=2),2,IF(AND('Tela de entrada'!$F$28='Contrato Flexível Prioridade'!A9,'Tela de entrada'!$G$31="",'Tela de entrada'!$G$36&lt;&gt;1),1,IF(AND('Tela de entrada'!$F$28='Contrato Flexível Prioridade'!A9,'Tela de entrada'!$G$36=""),1,2)))))))</f>
        <v>1</v>
      </c>
      <c r="F9">
        <v>1</v>
      </c>
      <c r="G9">
        <v>8</v>
      </c>
      <c r="H9">
        <v>1</v>
      </c>
      <c r="I9" s="1">
        <f>INDEX('Tela de entrada'!$C$13:$C$32,MATCH(G9,'Tela de entrada'!$B$13:$B$32,0),1)</f>
        <v>50</v>
      </c>
      <c r="J9">
        <v>0</v>
      </c>
      <c r="K9">
        <f t="shared" si="2"/>
        <v>50</v>
      </c>
      <c r="L9" s="1">
        <f>SUMIFS('Contrato Flexível Percentual'!$R$2:$R$21,'Contrato Flexível Percentual'!$C$2:$C$21,'Contrato Flexível Prioridade'!F9,'Contrato Flexível Percentual'!$D$2:$D$21,'Contrato Flexível Prioridade'!G9)+SUMIFS('Contrato Firme'!N$2:N$21,'Contrato Firme'!$C$2:$C$21,'Contrato Flexível Prioridade'!F9,'Contrato Flexível Percentual'!$D$2:$D$21,'Contrato Flexível Prioridade'!G9)+'Tela de entrada'!$G$29+'Tela de entrada'!$G$34</f>
        <v>36</v>
      </c>
      <c r="M9" s="1">
        <f t="shared" si="3"/>
        <v>14</v>
      </c>
      <c r="N9" s="1">
        <f>IF(D9=1,'Tela de entrada'!$G$30-'Tela de entrada'!$G$29,'Tela de entrada'!$G$35-'Tela de entrada'!$G$34)</f>
        <v>9</v>
      </c>
      <c r="O9" s="1">
        <f t="shared" si="4"/>
        <v>14</v>
      </c>
      <c r="P9" s="1">
        <f t="shared" si="5"/>
        <v>9</v>
      </c>
      <c r="Q9" s="1">
        <f>IF(D9=1,'Tela de entrada'!$G$29+'Contrato Flexível Prioridade'!P9,'Tela de entrada'!$G$34+P9)</f>
        <v>10</v>
      </c>
    </row>
    <row r="10" spans="1:17" x14ac:dyDescent="0.25">
      <c r="A10" t="str">
        <f t="shared" si="0"/>
        <v>Contrato 1</v>
      </c>
      <c r="B10" t="str">
        <f t="shared" si="1"/>
        <v>Contrato 19</v>
      </c>
      <c r="C10">
        <v>1</v>
      </c>
      <c r="D10">
        <v>1</v>
      </c>
      <c r="E10">
        <f>IF(AND(A10='Tela de entrada'!$F$33,'Tela de entrada'!$G$36=1),1,IF(AND(A10='Tela de entrada'!$F$33,'Tela de entrada'!$G$36="",'Tela de entrada'!$G$31=2),1,IF(AND('Tela de entrada'!$F$33='Contrato Flexível Prioridade'!A10,'Tela de entrada'!$G$36="",'Tela de entrada'!$G$31=""),2,IF(AND(A10='Tela de entrada'!$F$28,'Tela de entrada'!$G$31=1),1,IF(AND('Tela de entrada'!$F$28='Contrato Flexível Prioridade'!A10,'Tela de entrada'!$G$31=2),2,IF(AND('Tela de entrada'!$F$28='Contrato Flexível Prioridade'!A10,'Tela de entrada'!$G$31="",'Tela de entrada'!$G$36&lt;&gt;1),1,IF(AND('Tela de entrada'!$F$28='Contrato Flexível Prioridade'!A10,'Tela de entrada'!$G$36=""),1,2)))))))</f>
        <v>1</v>
      </c>
      <c r="F10">
        <v>1</v>
      </c>
      <c r="G10">
        <v>9</v>
      </c>
      <c r="H10">
        <v>1</v>
      </c>
      <c r="I10" s="1">
        <f>INDEX('Tela de entrada'!$C$13:$C$32,MATCH(G10,'Tela de entrada'!$B$13:$B$32,0),1)</f>
        <v>50</v>
      </c>
      <c r="J10">
        <v>0</v>
      </c>
      <c r="K10">
        <f t="shared" si="2"/>
        <v>50</v>
      </c>
      <c r="L10" s="1">
        <f>SUMIFS('Contrato Flexível Percentual'!$R$2:$R$21,'Contrato Flexível Percentual'!$C$2:$C$21,'Contrato Flexível Prioridade'!F10,'Contrato Flexível Percentual'!$D$2:$D$21,'Contrato Flexível Prioridade'!G10)+SUMIFS('Contrato Firme'!N$2:N$21,'Contrato Firme'!$C$2:$C$21,'Contrato Flexível Prioridade'!F10,'Contrato Flexível Percentual'!$D$2:$D$21,'Contrato Flexível Prioridade'!G10)+'Tela de entrada'!$G$29+'Tela de entrada'!$G$34</f>
        <v>36</v>
      </c>
      <c r="M10" s="1">
        <f t="shared" si="3"/>
        <v>14</v>
      </c>
      <c r="N10" s="1">
        <f>IF(D10=1,'Tela de entrada'!$G$30-'Tela de entrada'!$G$29,'Tela de entrada'!$G$35-'Tela de entrada'!$G$34)</f>
        <v>9</v>
      </c>
      <c r="O10" s="1">
        <f t="shared" si="4"/>
        <v>14</v>
      </c>
      <c r="P10" s="1">
        <f t="shared" si="5"/>
        <v>9</v>
      </c>
      <c r="Q10" s="1">
        <f>IF(D10=1,'Tela de entrada'!$G$29+'Contrato Flexível Prioridade'!P10,'Tela de entrada'!$G$34+P10)</f>
        <v>10</v>
      </c>
    </row>
    <row r="11" spans="1:17" x14ac:dyDescent="0.25">
      <c r="A11" t="str">
        <f t="shared" si="0"/>
        <v>Contrato 1</v>
      </c>
      <c r="B11" t="str">
        <f t="shared" si="1"/>
        <v>Contrato 110</v>
      </c>
      <c r="C11">
        <v>1</v>
      </c>
      <c r="D11">
        <v>1</v>
      </c>
      <c r="E11">
        <f>IF(AND(A11='Tela de entrada'!$F$33,'Tela de entrada'!$G$36=1),1,IF(AND(A11='Tela de entrada'!$F$33,'Tela de entrada'!$G$36="",'Tela de entrada'!$G$31=2),1,IF(AND('Tela de entrada'!$F$33='Contrato Flexível Prioridade'!A11,'Tela de entrada'!$G$36="",'Tela de entrada'!$G$31=""),2,IF(AND(A11='Tela de entrada'!$F$28,'Tela de entrada'!$G$31=1),1,IF(AND('Tela de entrada'!$F$28='Contrato Flexível Prioridade'!A11,'Tela de entrada'!$G$31=2),2,IF(AND('Tela de entrada'!$F$28='Contrato Flexível Prioridade'!A11,'Tela de entrada'!$G$31="",'Tela de entrada'!$G$36&lt;&gt;1),1,IF(AND('Tela de entrada'!$F$28='Contrato Flexível Prioridade'!A11,'Tela de entrada'!$G$36=""),1,2)))))))</f>
        <v>1</v>
      </c>
      <c r="F11">
        <v>1</v>
      </c>
      <c r="G11">
        <v>10</v>
      </c>
      <c r="H11">
        <v>1</v>
      </c>
      <c r="I11" s="1">
        <f>INDEX('Tela de entrada'!$C$13:$C$32,MATCH(G11,'Tela de entrada'!$B$13:$B$32,0),1)</f>
        <v>60</v>
      </c>
      <c r="J11">
        <v>0</v>
      </c>
      <c r="K11">
        <f t="shared" si="2"/>
        <v>60</v>
      </c>
      <c r="L11" s="1">
        <f>SUMIFS('Contrato Flexível Percentual'!$R$2:$R$21,'Contrato Flexível Percentual'!$C$2:$C$21,'Contrato Flexível Prioridade'!F11,'Contrato Flexível Percentual'!$D$2:$D$21,'Contrato Flexível Prioridade'!G11)+SUMIFS('Contrato Firme'!N$2:N$21,'Contrato Firme'!$C$2:$C$21,'Contrato Flexível Prioridade'!F11,'Contrato Flexível Percentual'!$D$2:$D$21,'Contrato Flexível Prioridade'!G11)+'Tela de entrada'!$G$29+'Tela de entrada'!$G$34</f>
        <v>43</v>
      </c>
      <c r="M11" s="1">
        <f t="shared" si="3"/>
        <v>17</v>
      </c>
      <c r="N11" s="1">
        <f>IF(D11=1,'Tela de entrada'!$G$30-'Tela de entrada'!$G$29,'Tela de entrada'!$G$35-'Tela de entrada'!$G$34)</f>
        <v>9</v>
      </c>
      <c r="O11" s="1">
        <f t="shared" si="4"/>
        <v>17</v>
      </c>
      <c r="P11" s="1">
        <f t="shared" si="5"/>
        <v>9</v>
      </c>
      <c r="Q11" s="1">
        <f>IF(D11=1,'Tela de entrada'!$G$29+'Contrato Flexível Prioridade'!P11,'Tela de entrada'!$G$34+P11)</f>
        <v>10</v>
      </c>
    </row>
    <row r="12" spans="1:17" x14ac:dyDescent="0.25">
      <c r="A12" t="str">
        <f t="shared" si="0"/>
        <v>Contrato 1</v>
      </c>
      <c r="B12" t="str">
        <f t="shared" si="1"/>
        <v>Contrato 111</v>
      </c>
      <c r="C12">
        <v>1</v>
      </c>
      <c r="D12">
        <v>1</v>
      </c>
      <c r="E12">
        <f>IF(AND(A12='Tela de entrada'!$F$33,'Tela de entrada'!$G$36=1),1,IF(AND(A12='Tela de entrada'!$F$33,'Tela de entrada'!$G$36="",'Tela de entrada'!$G$31=2),1,IF(AND('Tela de entrada'!$F$33='Contrato Flexível Prioridade'!A12,'Tela de entrada'!$G$36="",'Tela de entrada'!$G$31=""),2,IF(AND(A12='Tela de entrada'!$F$28,'Tela de entrada'!$G$31=1),1,IF(AND('Tela de entrada'!$F$28='Contrato Flexível Prioridade'!A12,'Tela de entrada'!$G$31=2),2,IF(AND('Tela de entrada'!$F$28='Contrato Flexível Prioridade'!A12,'Tela de entrada'!$G$31="",'Tela de entrada'!$G$36&lt;&gt;1),1,IF(AND('Tela de entrada'!$F$28='Contrato Flexível Prioridade'!A12,'Tela de entrada'!$G$36=""),1,2)))))))</f>
        <v>1</v>
      </c>
      <c r="F12">
        <v>1</v>
      </c>
      <c r="G12">
        <v>11</v>
      </c>
      <c r="H12">
        <v>1</v>
      </c>
      <c r="I12" s="1">
        <f>INDEX('Tela de entrada'!$C$13:$C$32,MATCH(G12,'Tela de entrada'!$B$13:$B$32,0),1)</f>
        <v>65</v>
      </c>
      <c r="J12">
        <v>0</v>
      </c>
      <c r="K12">
        <f t="shared" si="2"/>
        <v>65</v>
      </c>
      <c r="L12" s="1">
        <f>SUMIFS('Contrato Flexível Percentual'!$R$2:$R$21,'Contrato Flexível Percentual'!$C$2:$C$21,'Contrato Flexível Prioridade'!F12,'Contrato Flexível Percentual'!$D$2:$D$21,'Contrato Flexível Prioridade'!G12)+SUMIFS('Contrato Firme'!N$2:N$21,'Contrato Firme'!$C$2:$C$21,'Contrato Flexível Prioridade'!F12,'Contrato Flexível Percentual'!$D$2:$D$21,'Contrato Flexível Prioridade'!G12)+'Tela de entrada'!$G$29+'Tela de entrada'!$G$34</f>
        <v>46.5</v>
      </c>
      <c r="M12" s="1">
        <f t="shared" si="3"/>
        <v>18.5</v>
      </c>
      <c r="N12" s="1">
        <f>IF(D12=1,'Tela de entrada'!$G$30-'Tela de entrada'!$G$29,'Tela de entrada'!$G$35-'Tela de entrada'!$G$34)</f>
        <v>9</v>
      </c>
      <c r="O12" s="1">
        <f t="shared" si="4"/>
        <v>18.5</v>
      </c>
      <c r="P12" s="1">
        <f t="shared" si="5"/>
        <v>9</v>
      </c>
      <c r="Q12" s="1">
        <f>IF(D12=1,'Tela de entrada'!$G$29+'Contrato Flexível Prioridade'!P12,'Tela de entrada'!$G$34+P12)</f>
        <v>10</v>
      </c>
    </row>
    <row r="13" spans="1:17" x14ac:dyDescent="0.25">
      <c r="A13" t="str">
        <f t="shared" si="0"/>
        <v>Contrato 1</v>
      </c>
      <c r="B13" t="str">
        <f t="shared" si="1"/>
        <v>Contrato 112</v>
      </c>
      <c r="C13">
        <v>1</v>
      </c>
      <c r="D13">
        <v>1</v>
      </c>
      <c r="E13">
        <f>IF(AND(A13='Tela de entrada'!$F$33,'Tela de entrada'!$G$36=1),1,IF(AND(A13='Tela de entrada'!$F$33,'Tela de entrada'!$G$36="",'Tela de entrada'!$G$31=2),1,IF(AND('Tela de entrada'!$F$33='Contrato Flexível Prioridade'!A13,'Tela de entrada'!$G$36="",'Tela de entrada'!$G$31=""),2,IF(AND(A13='Tela de entrada'!$F$28,'Tela de entrada'!$G$31=1),1,IF(AND('Tela de entrada'!$F$28='Contrato Flexível Prioridade'!A13,'Tela de entrada'!$G$31=2),2,IF(AND('Tela de entrada'!$F$28='Contrato Flexível Prioridade'!A13,'Tela de entrada'!$G$31="",'Tela de entrada'!$G$36&lt;&gt;1),1,IF(AND('Tela de entrada'!$F$28='Contrato Flexível Prioridade'!A13,'Tela de entrada'!$G$36=""),1,2)))))))</f>
        <v>1</v>
      </c>
      <c r="F13">
        <v>1</v>
      </c>
      <c r="G13">
        <v>12</v>
      </c>
      <c r="H13">
        <v>1</v>
      </c>
      <c r="I13" s="1">
        <f>INDEX('Tela de entrada'!$C$13:$C$32,MATCH(G13,'Tela de entrada'!$B$13:$B$32,0),1)</f>
        <v>60</v>
      </c>
      <c r="J13">
        <v>0</v>
      </c>
      <c r="K13">
        <f t="shared" si="2"/>
        <v>60</v>
      </c>
      <c r="L13" s="1">
        <f>SUMIFS('Contrato Flexível Percentual'!$R$2:$R$21,'Contrato Flexível Percentual'!$C$2:$C$21,'Contrato Flexível Prioridade'!F13,'Contrato Flexível Percentual'!$D$2:$D$21,'Contrato Flexível Prioridade'!G13)+SUMIFS('Contrato Firme'!N$2:N$21,'Contrato Firme'!$C$2:$C$21,'Contrato Flexível Prioridade'!F13,'Contrato Flexível Percentual'!$D$2:$D$21,'Contrato Flexível Prioridade'!G13)+'Tela de entrada'!$G$29+'Tela de entrada'!$G$34</f>
        <v>43</v>
      </c>
      <c r="M13" s="1">
        <f t="shared" si="3"/>
        <v>17</v>
      </c>
      <c r="N13" s="1">
        <f>IF(D13=1,'Tela de entrada'!$G$30-'Tela de entrada'!$G$29,'Tela de entrada'!$G$35-'Tela de entrada'!$G$34)</f>
        <v>9</v>
      </c>
      <c r="O13" s="1">
        <f t="shared" si="4"/>
        <v>17</v>
      </c>
      <c r="P13" s="1">
        <f t="shared" si="5"/>
        <v>9</v>
      </c>
      <c r="Q13" s="1">
        <f>IF(D13=1,'Tela de entrada'!$G$29+'Contrato Flexível Prioridade'!P13,'Tela de entrada'!$G$34+P13)</f>
        <v>10</v>
      </c>
    </row>
    <row r="14" spans="1:17" x14ac:dyDescent="0.25">
      <c r="A14" t="str">
        <f t="shared" si="0"/>
        <v>Contrato 1</v>
      </c>
      <c r="B14" t="str">
        <f t="shared" si="1"/>
        <v>Contrato 113</v>
      </c>
      <c r="C14">
        <v>1</v>
      </c>
      <c r="D14">
        <v>1</v>
      </c>
      <c r="E14">
        <f>IF(AND(A14='Tela de entrada'!$F$33,'Tela de entrada'!$G$36=1),1,IF(AND(A14='Tela de entrada'!$F$33,'Tela de entrada'!$G$36="",'Tela de entrada'!$G$31=2),1,IF(AND('Tela de entrada'!$F$33='Contrato Flexível Prioridade'!A14,'Tela de entrada'!$G$36="",'Tela de entrada'!$G$31=""),2,IF(AND(A14='Tela de entrada'!$F$28,'Tela de entrada'!$G$31=1),1,IF(AND('Tela de entrada'!$F$28='Contrato Flexível Prioridade'!A14,'Tela de entrada'!$G$31=2),2,IF(AND('Tela de entrada'!$F$28='Contrato Flexível Prioridade'!A14,'Tela de entrada'!$G$31="",'Tela de entrada'!$G$36&lt;&gt;1),1,IF(AND('Tela de entrada'!$F$28='Contrato Flexível Prioridade'!A14,'Tela de entrada'!$G$36=""),1,2)))))))</f>
        <v>1</v>
      </c>
      <c r="F14">
        <v>1</v>
      </c>
      <c r="G14">
        <v>13</v>
      </c>
      <c r="H14">
        <v>1</v>
      </c>
      <c r="I14" s="1">
        <f>INDEX('Tela de entrada'!$C$13:$C$32,MATCH(G14,'Tela de entrada'!$B$13:$B$32,0),1)</f>
        <v>55</v>
      </c>
      <c r="J14">
        <v>0</v>
      </c>
      <c r="K14">
        <f t="shared" si="2"/>
        <v>55</v>
      </c>
      <c r="L14" s="1">
        <f>SUMIFS('Contrato Flexível Percentual'!$R$2:$R$21,'Contrato Flexível Percentual'!$C$2:$C$21,'Contrato Flexível Prioridade'!F14,'Contrato Flexível Percentual'!$D$2:$D$21,'Contrato Flexível Prioridade'!G14)+SUMIFS('Contrato Firme'!N$2:N$21,'Contrato Firme'!$C$2:$C$21,'Contrato Flexível Prioridade'!F14,'Contrato Flexível Percentual'!$D$2:$D$21,'Contrato Flexível Prioridade'!G14)+'Tela de entrada'!$G$29+'Tela de entrada'!$G$34</f>
        <v>39.5</v>
      </c>
      <c r="M14" s="1">
        <f t="shared" si="3"/>
        <v>15.5</v>
      </c>
      <c r="N14" s="1">
        <f>IF(D14=1,'Tela de entrada'!$G$30-'Tela de entrada'!$G$29,'Tela de entrada'!$G$35-'Tela de entrada'!$G$34)</f>
        <v>9</v>
      </c>
      <c r="O14" s="1">
        <f t="shared" si="4"/>
        <v>15.5</v>
      </c>
      <c r="P14" s="1">
        <f t="shared" si="5"/>
        <v>9</v>
      </c>
      <c r="Q14" s="1">
        <f>IF(D14=1,'Tela de entrada'!$G$29+'Contrato Flexível Prioridade'!P14,'Tela de entrada'!$G$34+P14)</f>
        <v>10</v>
      </c>
    </row>
    <row r="15" spans="1:17" x14ac:dyDescent="0.25">
      <c r="A15" t="str">
        <f t="shared" si="0"/>
        <v>Contrato 1</v>
      </c>
      <c r="B15" t="str">
        <f t="shared" si="1"/>
        <v>Contrato 114</v>
      </c>
      <c r="C15">
        <v>1</v>
      </c>
      <c r="D15">
        <v>1</v>
      </c>
      <c r="E15">
        <f>IF(AND(A15='Tela de entrada'!$F$33,'Tela de entrada'!$G$36=1),1,IF(AND(A15='Tela de entrada'!$F$33,'Tela de entrada'!$G$36="",'Tela de entrada'!$G$31=2),1,IF(AND('Tela de entrada'!$F$33='Contrato Flexível Prioridade'!A15,'Tela de entrada'!$G$36="",'Tela de entrada'!$G$31=""),2,IF(AND(A15='Tela de entrada'!$F$28,'Tela de entrada'!$G$31=1),1,IF(AND('Tela de entrada'!$F$28='Contrato Flexível Prioridade'!A15,'Tela de entrada'!$G$31=2),2,IF(AND('Tela de entrada'!$F$28='Contrato Flexível Prioridade'!A15,'Tela de entrada'!$G$31="",'Tela de entrada'!$G$36&lt;&gt;1),1,IF(AND('Tela de entrada'!$F$28='Contrato Flexível Prioridade'!A15,'Tela de entrada'!$G$36=""),1,2)))))))</f>
        <v>1</v>
      </c>
      <c r="F15">
        <v>1</v>
      </c>
      <c r="G15">
        <v>14</v>
      </c>
      <c r="H15">
        <v>1</v>
      </c>
      <c r="I15" s="1">
        <f>INDEX('Tela de entrada'!$C$13:$C$32,MATCH(G15,'Tela de entrada'!$B$13:$B$32,0),1)</f>
        <v>60</v>
      </c>
      <c r="J15">
        <v>0</v>
      </c>
      <c r="K15">
        <f t="shared" si="2"/>
        <v>60</v>
      </c>
      <c r="L15" s="1">
        <f>SUMIFS('Contrato Flexível Percentual'!$R$2:$R$21,'Contrato Flexível Percentual'!$C$2:$C$21,'Contrato Flexível Prioridade'!F15,'Contrato Flexível Percentual'!$D$2:$D$21,'Contrato Flexível Prioridade'!G15)+SUMIFS('Contrato Firme'!N$2:N$21,'Contrato Firme'!$C$2:$C$21,'Contrato Flexível Prioridade'!F15,'Contrato Flexível Percentual'!$D$2:$D$21,'Contrato Flexível Prioridade'!G15)+'Tela de entrada'!$G$29+'Tela de entrada'!$G$34</f>
        <v>43</v>
      </c>
      <c r="M15" s="1">
        <f t="shared" si="3"/>
        <v>17</v>
      </c>
      <c r="N15" s="1">
        <f>IF(D15=1,'Tela de entrada'!$G$30-'Tela de entrada'!$G$29,'Tela de entrada'!$G$35-'Tela de entrada'!$G$34)</f>
        <v>9</v>
      </c>
      <c r="O15" s="1">
        <f t="shared" si="4"/>
        <v>17</v>
      </c>
      <c r="P15" s="1">
        <f t="shared" si="5"/>
        <v>9</v>
      </c>
      <c r="Q15" s="1">
        <f>IF(D15=1,'Tela de entrada'!$G$29+'Contrato Flexível Prioridade'!P15,'Tela de entrada'!$G$34+P15)</f>
        <v>10</v>
      </c>
    </row>
    <row r="16" spans="1:17" x14ac:dyDescent="0.25">
      <c r="A16" t="str">
        <f t="shared" si="0"/>
        <v>Contrato 1</v>
      </c>
      <c r="B16" t="str">
        <f t="shared" si="1"/>
        <v>Contrato 115</v>
      </c>
      <c r="C16">
        <v>1</v>
      </c>
      <c r="D16">
        <v>1</v>
      </c>
      <c r="E16">
        <f>IF(AND(A16='Tela de entrada'!$F$33,'Tela de entrada'!$G$36=1),1,IF(AND(A16='Tela de entrada'!$F$33,'Tela de entrada'!$G$36="",'Tela de entrada'!$G$31=2),1,IF(AND('Tela de entrada'!$F$33='Contrato Flexível Prioridade'!A16,'Tela de entrada'!$G$36="",'Tela de entrada'!$G$31=""),2,IF(AND(A16='Tela de entrada'!$F$28,'Tela de entrada'!$G$31=1),1,IF(AND('Tela de entrada'!$F$28='Contrato Flexível Prioridade'!A16,'Tela de entrada'!$G$31=2),2,IF(AND('Tela de entrada'!$F$28='Contrato Flexível Prioridade'!A16,'Tela de entrada'!$G$31="",'Tela de entrada'!$G$36&lt;&gt;1),1,IF(AND('Tela de entrada'!$F$28='Contrato Flexível Prioridade'!A16,'Tela de entrada'!$G$36=""),1,2)))))))</f>
        <v>1</v>
      </c>
      <c r="F16">
        <v>1</v>
      </c>
      <c r="G16">
        <v>15</v>
      </c>
      <c r="H16">
        <v>1</v>
      </c>
      <c r="I16" s="1">
        <f>INDEX('Tela de entrada'!$C$13:$C$32,MATCH(G16,'Tela de entrada'!$B$13:$B$32,0),1)</f>
        <v>60</v>
      </c>
      <c r="J16">
        <v>0</v>
      </c>
      <c r="K16">
        <f t="shared" si="2"/>
        <v>60</v>
      </c>
      <c r="L16" s="1">
        <f>SUMIFS('Contrato Flexível Percentual'!$R$2:$R$21,'Contrato Flexível Percentual'!$C$2:$C$21,'Contrato Flexível Prioridade'!F16,'Contrato Flexível Percentual'!$D$2:$D$21,'Contrato Flexível Prioridade'!G16)+SUMIFS('Contrato Firme'!N$2:N$21,'Contrato Firme'!$C$2:$C$21,'Contrato Flexível Prioridade'!F16,'Contrato Flexível Percentual'!$D$2:$D$21,'Contrato Flexível Prioridade'!G16)+'Tela de entrada'!$G$29+'Tela de entrada'!$G$34</f>
        <v>43</v>
      </c>
      <c r="M16" s="1">
        <f t="shared" si="3"/>
        <v>17</v>
      </c>
      <c r="N16" s="1">
        <f>IF(D16=1,'Tela de entrada'!$G$30-'Tela de entrada'!$G$29,'Tela de entrada'!$G$35-'Tela de entrada'!$G$34)</f>
        <v>9</v>
      </c>
      <c r="O16" s="1">
        <f t="shared" si="4"/>
        <v>17</v>
      </c>
      <c r="P16" s="1">
        <f t="shared" si="5"/>
        <v>9</v>
      </c>
      <c r="Q16" s="1">
        <f>IF(D16=1,'Tela de entrada'!$G$29+'Contrato Flexível Prioridade'!P16,'Tela de entrada'!$G$34+P16)</f>
        <v>10</v>
      </c>
    </row>
    <row r="17" spans="1:17" x14ac:dyDescent="0.25">
      <c r="A17" t="str">
        <f t="shared" si="0"/>
        <v>Contrato 1</v>
      </c>
      <c r="B17" t="str">
        <f t="shared" si="1"/>
        <v>Contrato 116</v>
      </c>
      <c r="C17">
        <v>1</v>
      </c>
      <c r="D17">
        <v>1</v>
      </c>
      <c r="E17">
        <f>IF(AND(A17='Tela de entrada'!$F$33,'Tela de entrada'!$G$36=1),1,IF(AND(A17='Tela de entrada'!$F$33,'Tela de entrada'!$G$36="",'Tela de entrada'!$G$31=2),1,IF(AND('Tela de entrada'!$F$33='Contrato Flexível Prioridade'!A17,'Tela de entrada'!$G$36="",'Tela de entrada'!$G$31=""),2,IF(AND(A17='Tela de entrada'!$F$28,'Tela de entrada'!$G$31=1),1,IF(AND('Tela de entrada'!$F$28='Contrato Flexível Prioridade'!A17,'Tela de entrada'!$G$31=2),2,IF(AND('Tela de entrada'!$F$28='Contrato Flexível Prioridade'!A17,'Tela de entrada'!$G$31="",'Tela de entrada'!$G$36&lt;&gt;1),1,IF(AND('Tela de entrada'!$F$28='Contrato Flexível Prioridade'!A17,'Tela de entrada'!$G$36=""),1,2)))))))</f>
        <v>1</v>
      </c>
      <c r="F17">
        <v>1</v>
      </c>
      <c r="G17">
        <v>16</v>
      </c>
      <c r="H17">
        <v>1</v>
      </c>
      <c r="I17" s="1">
        <f>INDEX('Tela de entrada'!$C$13:$C$32,MATCH(G17,'Tela de entrada'!$B$13:$B$32,0),1)</f>
        <v>50</v>
      </c>
      <c r="J17">
        <v>0</v>
      </c>
      <c r="K17">
        <f t="shared" si="2"/>
        <v>50</v>
      </c>
      <c r="L17" s="1">
        <f>SUMIFS('Contrato Flexível Percentual'!$R$2:$R$21,'Contrato Flexível Percentual'!$C$2:$C$21,'Contrato Flexível Prioridade'!F17,'Contrato Flexível Percentual'!$D$2:$D$21,'Contrato Flexível Prioridade'!G17)+SUMIFS('Contrato Firme'!N$2:N$21,'Contrato Firme'!$C$2:$C$21,'Contrato Flexível Prioridade'!F17,'Contrato Flexível Percentual'!$D$2:$D$21,'Contrato Flexível Prioridade'!G17)+'Tela de entrada'!$G$29+'Tela de entrada'!$G$34</f>
        <v>36</v>
      </c>
      <c r="M17" s="1">
        <f t="shared" si="3"/>
        <v>14</v>
      </c>
      <c r="N17" s="1">
        <f>IF(D17=1,'Tela de entrada'!$G$30-'Tela de entrada'!$G$29,'Tela de entrada'!$G$35-'Tela de entrada'!$G$34)</f>
        <v>9</v>
      </c>
      <c r="O17" s="1">
        <f t="shared" si="4"/>
        <v>14</v>
      </c>
      <c r="P17" s="1">
        <f t="shared" si="5"/>
        <v>9</v>
      </c>
      <c r="Q17" s="1">
        <f>IF(D17=1,'Tela de entrada'!$G$29+'Contrato Flexível Prioridade'!P17,'Tela de entrada'!$G$34+P17)</f>
        <v>10</v>
      </c>
    </row>
    <row r="18" spans="1:17" x14ac:dyDescent="0.25">
      <c r="A18" t="str">
        <f t="shared" si="0"/>
        <v>Contrato 1</v>
      </c>
      <c r="B18" t="str">
        <f t="shared" si="1"/>
        <v>Contrato 117</v>
      </c>
      <c r="C18">
        <v>1</v>
      </c>
      <c r="D18">
        <v>1</v>
      </c>
      <c r="E18">
        <f>IF(AND(A18='Tela de entrada'!$F$33,'Tela de entrada'!$G$36=1),1,IF(AND(A18='Tela de entrada'!$F$33,'Tela de entrada'!$G$36="",'Tela de entrada'!$G$31=2),1,IF(AND('Tela de entrada'!$F$33='Contrato Flexível Prioridade'!A18,'Tela de entrada'!$G$36="",'Tela de entrada'!$G$31=""),2,IF(AND(A18='Tela de entrada'!$F$28,'Tela de entrada'!$G$31=1),1,IF(AND('Tela de entrada'!$F$28='Contrato Flexível Prioridade'!A18,'Tela de entrada'!$G$31=2),2,IF(AND('Tela de entrada'!$F$28='Contrato Flexível Prioridade'!A18,'Tela de entrada'!$G$31="",'Tela de entrada'!$G$36&lt;&gt;1),1,IF(AND('Tela de entrada'!$F$28='Contrato Flexível Prioridade'!A18,'Tela de entrada'!$G$36=""),1,2)))))))</f>
        <v>1</v>
      </c>
      <c r="F18">
        <v>1</v>
      </c>
      <c r="G18">
        <v>17</v>
      </c>
      <c r="H18">
        <v>1</v>
      </c>
      <c r="I18" s="1">
        <f>INDEX('Tela de entrada'!$C$13:$C$32,MATCH(G18,'Tela de entrada'!$B$13:$B$32,0),1)</f>
        <v>45</v>
      </c>
      <c r="J18">
        <v>0</v>
      </c>
      <c r="K18">
        <f t="shared" si="2"/>
        <v>45</v>
      </c>
      <c r="L18" s="1">
        <f>SUMIFS('Contrato Flexível Percentual'!$R$2:$R$21,'Contrato Flexível Percentual'!$C$2:$C$21,'Contrato Flexível Prioridade'!F18,'Contrato Flexível Percentual'!$D$2:$D$21,'Contrato Flexível Prioridade'!G18)+SUMIFS('Contrato Firme'!N$2:N$21,'Contrato Firme'!$C$2:$C$21,'Contrato Flexível Prioridade'!F18,'Contrato Flexível Percentual'!$D$2:$D$21,'Contrato Flexível Prioridade'!G18)+'Tela de entrada'!$G$29+'Tela de entrada'!$G$34</f>
        <v>32.5</v>
      </c>
      <c r="M18" s="1">
        <f t="shared" si="3"/>
        <v>12.5</v>
      </c>
      <c r="N18" s="1">
        <f>IF(D18=1,'Tela de entrada'!$G$30-'Tela de entrada'!$G$29,'Tela de entrada'!$G$35-'Tela de entrada'!$G$34)</f>
        <v>9</v>
      </c>
      <c r="O18" s="1">
        <f t="shared" si="4"/>
        <v>12.5</v>
      </c>
      <c r="P18" s="1">
        <f t="shared" si="5"/>
        <v>9</v>
      </c>
      <c r="Q18" s="1">
        <f>IF(D18=1,'Tela de entrada'!$G$29+'Contrato Flexível Prioridade'!P18,'Tela de entrada'!$G$34+P18)</f>
        <v>10</v>
      </c>
    </row>
    <row r="19" spans="1:17" x14ac:dyDescent="0.25">
      <c r="A19" t="str">
        <f t="shared" si="0"/>
        <v>Contrato 1</v>
      </c>
      <c r="B19" t="str">
        <f t="shared" si="1"/>
        <v>Contrato 118</v>
      </c>
      <c r="C19">
        <v>1</v>
      </c>
      <c r="D19">
        <v>1</v>
      </c>
      <c r="E19">
        <f>IF(AND(A19='Tela de entrada'!$F$33,'Tela de entrada'!$G$36=1),1,IF(AND(A19='Tela de entrada'!$F$33,'Tela de entrada'!$G$36="",'Tela de entrada'!$G$31=2),1,IF(AND('Tela de entrada'!$F$33='Contrato Flexível Prioridade'!A19,'Tela de entrada'!$G$36="",'Tela de entrada'!$G$31=""),2,IF(AND(A19='Tela de entrada'!$F$28,'Tela de entrada'!$G$31=1),1,IF(AND('Tela de entrada'!$F$28='Contrato Flexível Prioridade'!A19,'Tela de entrada'!$G$31=2),2,IF(AND('Tela de entrada'!$F$28='Contrato Flexível Prioridade'!A19,'Tela de entrada'!$G$31="",'Tela de entrada'!$G$36&lt;&gt;1),1,IF(AND('Tela de entrada'!$F$28='Contrato Flexível Prioridade'!A19,'Tela de entrada'!$G$36=""),1,2)))))))</f>
        <v>1</v>
      </c>
      <c r="F19">
        <v>1</v>
      </c>
      <c r="G19">
        <v>18</v>
      </c>
      <c r="H19">
        <v>1</v>
      </c>
      <c r="I19" s="1">
        <f>INDEX('Tela de entrada'!$C$13:$C$32,MATCH(G19,'Tela de entrada'!$B$13:$B$32,0),1)</f>
        <v>40</v>
      </c>
      <c r="J19">
        <v>0</v>
      </c>
      <c r="K19">
        <f t="shared" si="2"/>
        <v>40</v>
      </c>
      <c r="L19" s="1">
        <f>SUMIFS('Contrato Flexível Percentual'!$R$2:$R$21,'Contrato Flexível Percentual'!$C$2:$C$21,'Contrato Flexível Prioridade'!F19,'Contrato Flexível Percentual'!$D$2:$D$21,'Contrato Flexível Prioridade'!G19)+SUMIFS('Contrato Firme'!N$2:N$21,'Contrato Firme'!$C$2:$C$21,'Contrato Flexível Prioridade'!F19,'Contrato Flexível Percentual'!$D$2:$D$21,'Contrato Flexível Prioridade'!G19)+'Tela de entrada'!$G$29+'Tela de entrada'!$G$34</f>
        <v>29</v>
      </c>
      <c r="M19" s="1">
        <f t="shared" si="3"/>
        <v>11</v>
      </c>
      <c r="N19" s="1">
        <f>IF(D19=1,'Tela de entrada'!$G$30-'Tela de entrada'!$G$29,'Tela de entrada'!$G$35-'Tela de entrada'!$G$34)</f>
        <v>9</v>
      </c>
      <c r="O19" s="1">
        <f t="shared" si="4"/>
        <v>11</v>
      </c>
      <c r="P19" s="1">
        <f t="shared" si="5"/>
        <v>9</v>
      </c>
      <c r="Q19" s="1">
        <f>IF(D19=1,'Tela de entrada'!$G$29+'Contrato Flexível Prioridade'!P19,'Tela de entrada'!$G$34+P19)</f>
        <v>10</v>
      </c>
    </row>
    <row r="20" spans="1:17" x14ac:dyDescent="0.25">
      <c r="A20" t="str">
        <f t="shared" si="0"/>
        <v>Contrato 1</v>
      </c>
      <c r="B20" t="str">
        <f t="shared" si="1"/>
        <v>Contrato 119</v>
      </c>
      <c r="C20">
        <v>1</v>
      </c>
      <c r="D20">
        <v>1</v>
      </c>
      <c r="E20">
        <f>IF(AND(A20='Tela de entrada'!$F$33,'Tela de entrada'!$G$36=1),1,IF(AND(A20='Tela de entrada'!$F$33,'Tela de entrada'!$G$36="",'Tela de entrada'!$G$31=2),1,IF(AND('Tela de entrada'!$F$33='Contrato Flexível Prioridade'!A20,'Tela de entrada'!$G$36="",'Tela de entrada'!$G$31=""),2,IF(AND(A20='Tela de entrada'!$F$28,'Tela de entrada'!$G$31=1),1,IF(AND('Tela de entrada'!$F$28='Contrato Flexível Prioridade'!A20,'Tela de entrada'!$G$31=2),2,IF(AND('Tela de entrada'!$F$28='Contrato Flexível Prioridade'!A20,'Tela de entrada'!$G$31="",'Tela de entrada'!$G$36&lt;&gt;1),1,IF(AND('Tela de entrada'!$F$28='Contrato Flexível Prioridade'!A20,'Tela de entrada'!$G$36=""),1,2)))))))</f>
        <v>1</v>
      </c>
      <c r="F20">
        <v>1</v>
      </c>
      <c r="G20">
        <v>19</v>
      </c>
      <c r="H20">
        <v>1</v>
      </c>
      <c r="I20" s="1">
        <f>INDEX('Tela de entrada'!$C$13:$C$32,MATCH(G20,'Tela de entrada'!$B$13:$B$32,0),1)</f>
        <v>30</v>
      </c>
      <c r="J20">
        <v>0</v>
      </c>
      <c r="K20">
        <f t="shared" si="2"/>
        <v>30</v>
      </c>
      <c r="L20" s="1">
        <f>SUMIFS('Contrato Flexível Percentual'!$R$2:$R$21,'Contrato Flexível Percentual'!$C$2:$C$21,'Contrato Flexível Prioridade'!F20,'Contrato Flexível Percentual'!$D$2:$D$21,'Contrato Flexível Prioridade'!G20)+SUMIFS('Contrato Firme'!N$2:N$21,'Contrato Firme'!$C$2:$C$21,'Contrato Flexível Prioridade'!F20,'Contrato Flexível Percentual'!$D$2:$D$21,'Contrato Flexível Prioridade'!G20)+'Tela de entrada'!$G$29+'Tela de entrada'!$G$34</f>
        <v>22</v>
      </c>
      <c r="M20" s="1">
        <f t="shared" si="3"/>
        <v>8</v>
      </c>
      <c r="N20" s="1">
        <f>IF(D20=1,'Tela de entrada'!$G$30-'Tela de entrada'!$G$29,'Tela de entrada'!$G$35-'Tela de entrada'!$G$34)</f>
        <v>9</v>
      </c>
      <c r="O20" s="1">
        <f t="shared" si="4"/>
        <v>8</v>
      </c>
      <c r="P20" s="1">
        <f t="shared" si="5"/>
        <v>8</v>
      </c>
      <c r="Q20" s="1">
        <f>IF(D20=1,'Tela de entrada'!$G$29+'Contrato Flexível Prioridade'!P20,'Tela de entrada'!$G$34+P20)</f>
        <v>9</v>
      </c>
    </row>
    <row r="21" spans="1:17" x14ac:dyDescent="0.25">
      <c r="A21" t="str">
        <f t="shared" si="0"/>
        <v>Contrato 1</v>
      </c>
      <c r="B21" t="str">
        <f t="shared" si="1"/>
        <v>Contrato 120</v>
      </c>
      <c r="C21">
        <v>1</v>
      </c>
      <c r="D21">
        <v>1</v>
      </c>
      <c r="E21">
        <f>IF(AND(A21='Tela de entrada'!$F$33,'Tela de entrada'!$G$36=1),1,IF(AND(A21='Tela de entrada'!$F$33,'Tela de entrada'!$G$36="",'Tela de entrada'!$G$31=2),1,IF(AND('Tela de entrada'!$F$33='Contrato Flexível Prioridade'!A21,'Tela de entrada'!$G$36="",'Tela de entrada'!$G$31=""),2,IF(AND(A21='Tela de entrada'!$F$28,'Tela de entrada'!$G$31=1),1,IF(AND('Tela de entrada'!$F$28='Contrato Flexível Prioridade'!A21,'Tela de entrada'!$G$31=2),2,IF(AND('Tela de entrada'!$F$28='Contrato Flexível Prioridade'!A21,'Tela de entrada'!$G$31="",'Tela de entrada'!$G$36&lt;&gt;1),1,IF(AND('Tela de entrada'!$F$28='Contrato Flexível Prioridade'!A21,'Tela de entrada'!$G$36=""),1,2)))))))</f>
        <v>1</v>
      </c>
      <c r="F21">
        <v>1</v>
      </c>
      <c r="G21">
        <v>20</v>
      </c>
      <c r="H21">
        <v>1</v>
      </c>
      <c r="I21" s="1">
        <f>INDEX('Tela de entrada'!$C$13:$C$32,MATCH(G21,'Tela de entrada'!$B$13:$B$32,0),1)</f>
        <v>25</v>
      </c>
      <c r="J21">
        <v>0</v>
      </c>
      <c r="K21">
        <f t="shared" si="2"/>
        <v>25</v>
      </c>
      <c r="L21" s="1">
        <f>SUMIFS('Contrato Flexível Percentual'!$R$2:$R$21,'Contrato Flexível Percentual'!$C$2:$C$21,'Contrato Flexível Prioridade'!F21,'Contrato Flexível Percentual'!$D$2:$D$21,'Contrato Flexível Prioridade'!G21)+SUMIFS('Contrato Firme'!N$2:N$21,'Contrato Firme'!$C$2:$C$21,'Contrato Flexível Prioridade'!F21,'Contrato Flexível Percentual'!$D$2:$D$21,'Contrato Flexível Prioridade'!G21)+'Tela de entrada'!$G$29+'Tela de entrada'!$G$34</f>
        <v>18.5</v>
      </c>
      <c r="M21" s="1">
        <f t="shared" si="3"/>
        <v>6.5</v>
      </c>
      <c r="N21" s="1">
        <f>IF(D21=1,'Tela de entrada'!$G$30-'Tela de entrada'!$G$29,'Tela de entrada'!$G$35-'Tela de entrada'!$G$34)</f>
        <v>9</v>
      </c>
      <c r="O21" s="1">
        <f t="shared" si="4"/>
        <v>6.5</v>
      </c>
      <c r="P21" s="1">
        <f t="shared" si="5"/>
        <v>6.5</v>
      </c>
      <c r="Q21" s="1">
        <f>IF(D21=1,'Tela de entrada'!$G$29+'Contrato Flexível Prioridade'!P21,'Tela de entrada'!$G$34+P21)</f>
        <v>7.5</v>
      </c>
    </row>
    <row r="22" spans="1:17" x14ac:dyDescent="0.25">
      <c r="A22" t="str">
        <f t="shared" si="0"/>
        <v>Contrato 2</v>
      </c>
      <c r="B22" t="str">
        <f t="shared" si="1"/>
        <v>Contrato 21</v>
      </c>
      <c r="C22">
        <v>1</v>
      </c>
      <c r="D22">
        <v>2</v>
      </c>
      <c r="E22">
        <f>IF(AND(A22='Tela de entrada'!$F$33,'Tela de entrada'!$G$36=1),1,IF(AND(A22='Tela de entrada'!$F$33,'Tela de entrada'!$G$36="",'Tela de entrada'!$G$31=2),1,IF(AND('Tela de entrada'!$F$33='Contrato Flexível Prioridade'!A22,'Tela de entrada'!$G$36="",'Tela de entrada'!$G$31=""),2,IF(AND(A22='Tela de entrada'!$F$28,'Tela de entrada'!$G$31=1),1,IF(AND('Tela de entrada'!$F$28='Contrato Flexível Prioridade'!A22,'Tela de entrada'!$G$31=2),2,IF(AND('Tela de entrada'!$F$28='Contrato Flexível Prioridade'!A22,'Tela de entrada'!$G$31="",'Tela de entrada'!$G$36&lt;&gt;1),1,IF(AND('Tela de entrada'!$F$28='Contrato Flexível Prioridade'!A22,'Tela de entrada'!$G$36=""),1,2)))))))</f>
        <v>2</v>
      </c>
      <c r="F22">
        <v>1</v>
      </c>
      <c r="G22">
        <v>1</v>
      </c>
      <c r="H22">
        <v>1</v>
      </c>
      <c r="I22" s="1">
        <f>INDEX('Tela de entrada'!$C$13:$C$32,MATCH(G22,'Tela de entrada'!$B$13:$B$32,0),1)</f>
        <v>5</v>
      </c>
      <c r="J22">
        <v>0</v>
      </c>
      <c r="K22">
        <f>I22-J22</f>
        <v>5</v>
      </c>
      <c r="L22" s="1">
        <f>SUMIFS('Contrato Flexível Percentual'!$R$2:$R$21,'Contrato Flexível Percentual'!$C$2:$C$21,'Contrato Flexível Prioridade'!F22,'Contrato Flexível Percentual'!$D$2:$D$21,'Contrato Flexível Prioridade'!G22)+SUMIFS('Contrato Firme'!N$2:N$21,'Contrato Firme'!$C$2:$C$21,'Contrato Flexível Prioridade'!F22,'Contrato Flexível Percentual'!$D$2:$D$21,'Contrato Flexível Prioridade'!G22)+'Tela de entrada'!$G$29+'Tela de entrada'!$G$34</f>
        <v>4.5</v>
      </c>
      <c r="M22" s="1">
        <f t="shared" si="3"/>
        <v>0.5</v>
      </c>
      <c r="N22" s="1">
        <f>IF(D22=1,'Tela de entrada'!$G$30-'Tela de entrada'!$G$29,'Tela de entrada'!$G$35-'Tela de entrada'!$G$34)</f>
        <v>10</v>
      </c>
      <c r="O22" s="1">
        <f t="shared" si="4"/>
        <v>0</v>
      </c>
      <c r="P22" s="1">
        <f t="shared" si="5"/>
        <v>0</v>
      </c>
      <c r="Q22" s="1">
        <f>IF(D22=1,'Tela de entrada'!$G$29+'Contrato Flexível Prioridade'!P22,'Tela de entrada'!$G$34+P22)</f>
        <v>0</v>
      </c>
    </row>
    <row r="23" spans="1:17" x14ac:dyDescent="0.25">
      <c r="A23" t="str">
        <f t="shared" si="0"/>
        <v>Contrato 2</v>
      </c>
      <c r="B23" t="str">
        <f t="shared" si="1"/>
        <v>Contrato 22</v>
      </c>
      <c r="C23">
        <v>1</v>
      </c>
      <c r="D23">
        <v>2</v>
      </c>
      <c r="E23">
        <f>IF(AND(A23='Tela de entrada'!$F$33,'Tela de entrada'!$G$36=1),1,IF(AND(A23='Tela de entrada'!$F$33,'Tela de entrada'!$G$36="",'Tela de entrada'!$G$31=2),1,IF(AND('Tela de entrada'!$F$33='Contrato Flexível Prioridade'!A23,'Tela de entrada'!$G$36="",'Tela de entrada'!$G$31=""),2,IF(AND(A23='Tela de entrada'!$F$28,'Tela de entrada'!$G$31=1),1,IF(AND('Tela de entrada'!$F$28='Contrato Flexível Prioridade'!A23,'Tela de entrada'!$G$31=2),2,IF(AND('Tela de entrada'!$F$28='Contrato Flexível Prioridade'!A23,'Tela de entrada'!$G$31="",'Tela de entrada'!$G$36&lt;&gt;1),1,IF(AND('Tela de entrada'!$F$28='Contrato Flexível Prioridade'!A23,'Tela de entrada'!$G$36=""),1,2)))))))</f>
        <v>2</v>
      </c>
      <c r="F23">
        <v>1</v>
      </c>
      <c r="G23">
        <v>2</v>
      </c>
      <c r="H23">
        <v>1</v>
      </c>
      <c r="I23" s="1">
        <f>INDEX('Tela de entrada'!$C$13:$C$32,MATCH(G23,'Tela de entrada'!$B$13:$B$32,0),1)</f>
        <v>5</v>
      </c>
      <c r="J23">
        <v>0</v>
      </c>
      <c r="K23">
        <f t="shared" si="2"/>
        <v>5</v>
      </c>
      <c r="L23" s="1">
        <f>SUMIFS('Contrato Flexível Percentual'!$R$2:$R$21,'Contrato Flexível Percentual'!$C$2:$C$21,'Contrato Flexível Prioridade'!F23,'Contrato Flexível Percentual'!$D$2:$D$21,'Contrato Flexível Prioridade'!G23)+SUMIFS('Contrato Firme'!N$2:N$21,'Contrato Firme'!$C$2:$C$21,'Contrato Flexível Prioridade'!F23,'Contrato Flexível Percentual'!$D$2:$D$21,'Contrato Flexível Prioridade'!G23)+'Tela de entrada'!$G$29+'Tela de entrada'!$G$34</f>
        <v>4.5</v>
      </c>
      <c r="M23" s="1">
        <f t="shared" si="3"/>
        <v>0.5</v>
      </c>
      <c r="N23" s="1">
        <f>IF(D23=1,'Tela de entrada'!$G$30-'Tela de entrada'!$G$29,'Tela de entrada'!$G$35-'Tela de entrada'!$G$34)</f>
        <v>10</v>
      </c>
      <c r="O23" s="1">
        <f t="shared" si="4"/>
        <v>0</v>
      </c>
      <c r="P23" s="1">
        <f t="shared" si="5"/>
        <v>0</v>
      </c>
      <c r="Q23" s="1">
        <f>IF(D23=1,'Tela de entrada'!$G$29+'Contrato Flexível Prioridade'!P23,'Tela de entrada'!$G$34+P23)</f>
        <v>0</v>
      </c>
    </row>
    <row r="24" spans="1:17" x14ac:dyDescent="0.25">
      <c r="A24" t="str">
        <f t="shared" si="0"/>
        <v>Contrato 2</v>
      </c>
      <c r="B24" t="str">
        <f t="shared" si="1"/>
        <v>Contrato 23</v>
      </c>
      <c r="C24">
        <v>1</v>
      </c>
      <c r="D24">
        <v>2</v>
      </c>
      <c r="E24">
        <f>IF(AND(A24='Tela de entrada'!$F$33,'Tela de entrada'!$G$36=1),1,IF(AND(A24='Tela de entrada'!$F$33,'Tela de entrada'!$G$36="",'Tela de entrada'!$G$31=2),1,IF(AND('Tela de entrada'!$F$33='Contrato Flexível Prioridade'!A24,'Tela de entrada'!$G$36="",'Tela de entrada'!$G$31=""),2,IF(AND(A24='Tela de entrada'!$F$28,'Tela de entrada'!$G$31=1),1,IF(AND('Tela de entrada'!$F$28='Contrato Flexível Prioridade'!A24,'Tela de entrada'!$G$31=2),2,IF(AND('Tela de entrada'!$F$28='Contrato Flexível Prioridade'!A24,'Tela de entrada'!$G$31="",'Tela de entrada'!$G$36&lt;&gt;1),1,IF(AND('Tela de entrada'!$F$28='Contrato Flexível Prioridade'!A24,'Tela de entrada'!$G$36=""),1,2)))))))</f>
        <v>2</v>
      </c>
      <c r="F24">
        <v>1</v>
      </c>
      <c r="G24">
        <v>3</v>
      </c>
      <c r="H24">
        <v>1</v>
      </c>
      <c r="I24" s="1">
        <f>INDEX('Tela de entrada'!$C$13:$C$32,MATCH(G24,'Tela de entrada'!$B$13:$B$32,0),1)</f>
        <v>15</v>
      </c>
      <c r="J24">
        <v>0</v>
      </c>
      <c r="K24">
        <f t="shared" si="2"/>
        <v>15</v>
      </c>
      <c r="L24" s="1">
        <f>SUMIFS('Contrato Flexível Percentual'!$R$2:$R$21,'Contrato Flexível Percentual'!$C$2:$C$21,'Contrato Flexível Prioridade'!F24,'Contrato Flexível Percentual'!$D$2:$D$21,'Contrato Flexível Prioridade'!G24)+SUMIFS('Contrato Firme'!N$2:N$21,'Contrato Firme'!$C$2:$C$21,'Contrato Flexível Prioridade'!F24,'Contrato Flexível Percentual'!$D$2:$D$21,'Contrato Flexível Prioridade'!G24)+'Tela de entrada'!$G$29+'Tela de entrada'!$G$34</f>
        <v>11.5</v>
      </c>
      <c r="M24" s="1">
        <f t="shared" si="3"/>
        <v>3.5</v>
      </c>
      <c r="N24" s="1">
        <f>IF(D24=1,'Tela de entrada'!$G$30-'Tela de entrada'!$G$29,'Tela de entrada'!$G$35-'Tela de entrada'!$G$34)</f>
        <v>10</v>
      </c>
      <c r="O24" s="1">
        <f t="shared" si="4"/>
        <v>0</v>
      </c>
      <c r="P24" s="1">
        <f t="shared" si="5"/>
        <v>0</v>
      </c>
      <c r="Q24" s="1">
        <f>IF(D24=1,'Tela de entrada'!$G$29+'Contrato Flexível Prioridade'!P24,'Tela de entrada'!$G$34+P24)</f>
        <v>0</v>
      </c>
    </row>
    <row r="25" spans="1:17" x14ac:dyDescent="0.25">
      <c r="A25" t="str">
        <f t="shared" si="0"/>
        <v>Contrato 2</v>
      </c>
      <c r="B25" t="str">
        <f t="shared" si="1"/>
        <v>Contrato 24</v>
      </c>
      <c r="C25">
        <v>1</v>
      </c>
      <c r="D25">
        <v>2</v>
      </c>
      <c r="E25">
        <f>IF(AND(A25='Tela de entrada'!$F$33,'Tela de entrada'!$G$36=1),1,IF(AND(A25='Tela de entrada'!$F$33,'Tela de entrada'!$G$36="",'Tela de entrada'!$G$31=2),1,IF(AND('Tela de entrada'!$F$33='Contrato Flexível Prioridade'!A25,'Tela de entrada'!$G$36="",'Tela de entrada'!$G$31=""),2,IF(AND(A25='Tela de entrada'!$F$28,'Tela de entrada'!$G$31=1),1,IF(AND('Tela de entrada'!$F$28='Contrato Flexível Prioridade'!A25,'Tela de entrada'!$G$31=2),2,IF(AND('Tela de entrada'!$F$28='Contrato Flexível Prioridade'!A25,'Tela de entrada'!$G$31="",'Tela de entrada'!$G$36&lt;&gt;1),1,IF(AND('Tela de entrada'!$F$28='Contrato Flexível Prioridade'!A25,'Tela de entrada'!$G$36=""),1,2)))))))</f>
        <v>2</v>
      </c>
      <c r="F25">
        <v>1</v>
      </c>
      <c r="G25">
        <v>4</v>
      </c>
      <c r="H25">
        <v>1</v>
      </c>
      <c r="I25" s="1">
        <f>INDEX('Tela de entrada'!$C$13:$C$32,MATCH(G25,'Tela de entrada'!$B$13:$B$32,0),1)</f>
        <v>15</v>
      </c>
      <c r="J25">
        <v>0</v>
      </c>
      <c r="K25">
        <f t="shared" si="2"/>
        <v>15</v>
      </c>
      <c r="L25" s="1">
        <f>SUMIFS('Contrato Flexível Percentual'!$R$2:$R$21,'Contrato Flexível Percentual'!$C$2:$C$21,'Contrato Flexível Prioridade'!F25,'Contrato Flexível Percentual'!$D$2:$D$21,'Contrato Flexível Prioridade'!G25)+SUMIFS('Contrato Firme'!N$2:N$21,'Contrato Firme'!$C$2:$C$21,'Contrato Flexível Prioridade'!F25,'Contrato Flexível Percentual'!$D$2:$D$21,'Contrato Flexível Prioridade'!G25)+'Tela de entrada'!$G$29+'Tela de entrada'!$G$34</f>
        <v>11.5</v>
      </c>
      <c r="M25" s="1">
        <f t="shared" si="3"/>
        <v>3.5</v>
      </c>
      <c r="N25" s="1">
        <f>IF(D25=1,'Tela de entrada'!$G$30-'Tela de entrada'!$G$29,'Tela de entrada'!$G$35-'Tela de entrada'!$G$34)</f>
        <v>10</v>
      </c>
      <c r="O25" s="1">
        <f t="shared" si="4"/>
        <v>0</v>
      </c>
      <c r="P25" s="1">
        <f t="shared" si="5"/>
        <v>0</v>
      </c>
      <c r="Q25" s="1">
        <f>IF(D25=1,'Tela de entrada'!$G$29+'Contrato Flexível Prioridade'!P25,'Tela de entrada'!$G$34+P25)</f>
        <v>0</v>
      </c>
    </row>
    <row r="26" spans="1:17" x14ac:dyDescent="0.25">
      <c r="A26" t="str">
        <f t="shared" si="0"/>
        <v>Contrato 2</v>
      </c>
      <c r="B26" t="str">
        <f t="shared" si="1"/>
        <v>Contrato 25</v>
      </c>
      <c r="C26">
        <v>1</v>
      </c>
      <c r="D26">
        <v>2</v>
      </c>
      <c r="E26">
        <f>IF(AND(A26='Tela de entrada'!$F$33,'Tela de entrada'!$G$36=1),1,IF(AND(A26='Tela de entrada'!$F$33,'Tela de entrada'!$G$36="",'Tela de entrada'!$G$31=2),1,IF(AND('Tela de entrada'!$F$33='Contrato Flexível Prioridade'!A26,'Tela de entrada'!$G$36="",'Tela de entrada'!$G$31=""),2,IF(AND(A26='Tela de entrada'!$F$28,'Tela de entrada'!$G$31=1),1,IF(AND('Tela de entrada'!$F$28='Contrato Flexível Prioridade'!A26,'Tela de entrada'!$G$31=2),2,IF(AND('Tela de entrada'!$F$28='Contrato Flexível Prioridade'!A26,'Tela de entrada'!$G$31="",'Tela de entrada'!$G$36&lt;&gt;1),1,IF(AND('Tela de entrada'!$F$28='Contrato Flexível Prioridade'!A26,'Tela de entrada'!$G$36=""),1,2)))))))</f>
        <v>2</v>
      </c>
      <c r="F26">
        <v>1</v>
      </c>
      <c r="G26">
        <v>5</v>
      </c>
      <c r="H26">
        <v>1</v>
      </c>
      <c r="I26" s="1">
        <f>INDEX('Tela de entrada'!$C$13:$C$32,MATCH(G26,'Tela de entrada'!$B$13:$B$32,0),1)</f>
        <v>35</v>
      </c>
      <c r="J26">
        <v>0</v>
      </c>
      <c r="K26">
        <f t="shared" si="2"/>
        <v>35</v>
      </c>
      <c r="L26" s="1">
        <f>SUMIFS('Contrato Flexível Percentual'!$R$2:$R$21,'Contrato Flexível Percentual'!$C$2:$C$21,'Contrato Flexível Prioridade'!F26,'Contrato Flexível Percentual'!$D$2:$D$21,'Contrato Flexível Prioridade'!G26)+SUMIFS('Contrato Firme'!N$2:N$21,'Contrato Firme'!$C$2:$C$21,'Contrato Flexível Prioridade'!F26,'Contrato Flexível Percentual'!$D$2:$D$21,'Contrato Flexível Prioridade'!G26)+'Tela de entrada'!$G$29+'Tela de entrada'!$G$34</f>
        <v>25.5</v>
      </c>
      <c r="M26" s="1">
        <f t="shared" si="3"/>
        <v>9.5</v>
      </c>
      <c r="N26" s="1">
        <f>IF(D26=1,'Tela de entrada'!$G$30-'Tela de entrada'!$G$29,'Tela de entrada'!$G$35-'Tela de entrada'!$G$34)</f>
        <v>10</v>
      </c>
      <c r="O26" s="1">
        <f t="shared" si="4"/>
        <v>0.5</v>
      </c>
      <c r="P26" s="1">
        <f t="shared" si="5"/>
        <v>0.5</v>
      </c>
      <c r="Q26" s="1">
        <f>IF(D26=1,'Tela de entrada'!$G$29+'Contrato Flexível Prioridade'!P26,'Tela de entrada'!$G$34+P26)</f>
        <v>0.5</v>
      </c>
    </row>
    <row r="27" spans="1:17" x14ac:dyDescent="0.25">
      <c r="A27" t="str">
        <f t="shared" si="0"/>
        <v>Contrato 2</v>
      </c>
      <c r="B27" t="str">
        <f t="shared" si="1"/>
        <v>Contrato 26</v>
      </c>
      <c r="C27">
        <v>1</v>
      </c>
      <c r="D27">
        <v>2</v>
      </c>
      <c r="E27">
        <f>IF(AND(A27='Tela de entrada'!$F$33,'Tela de entrada'!$G$36=1),1,IF(AND(A27='Tela de entrada'!$F$33,'Tela de entrada'!$G$36="",'Tela de entrada'!$G$31=2),1,IF(AND('Tela de entrada'!$F$33='Contrato Flexível Prioridade'!A27,'Tela de entrada'!$G$36="",'Tela de entrada'!$G$31=""),2,IF(AND(A27='Tela de entrada'!$F$28,'Tela de entrada'!$G$31=1),1,IF(AND('Tela de entrada'!$F$28='Contrato Flexível Prioridade'!A27,'Tela de entrada'!$G$31=2),2,IF(AND('Tela de entrada'!$F$28='Contrato Flexível Prioridade'!A27,'Tela de entrada'!$G$31="",'Tela de entrada'!$G$36&lt;&gt;1),1,IF(AND('Tela de entrada'!$F$28='Contrato Flexível Prioridade'!A27,'Tela de entrada'!$G$36=""),1,2)))))))</f>
        <v>2</v>
      </c>
      <c r="F27">
        <v>1</v>
      </c>
      <c r="G27">
        <v>6</v>
      </c>
      <c r="H27">
        <v>1</v>
      </c>
      <c r="I27" s="1">
        <f>INDEX('Tela de entrada'!$C$13:$C$32,MATCH(G27,'Tela de entrada'!$B$13:$B$32,0),1)</f>
        <v>35</v>
      </c>
      <c r="J27">
        <v>0</v>
      </c>
      <c r="K27">
        <f t="shared" si="2"/>
        <v>35</v>
      </c>
      <c r="L27" s="1">
        <f>SUMIFS('Contrato Flexível Percentual'!$R$2:$R$21,'Contrato Flexível Percentual'!$C$2:$C$21,'Contrato Flexível Prioridade'!F27,'Contrato Flexível Percentual'!$D$2:$D$21,'Contrato Flexível Prioridade'!G27)+SUMIFS('Contrato Firme'!N$2:N$21,'Contrato Firme'!$C$2:$C$21,'Contrato Flexível Prioridade'!F27,'Contrato Flexível Percentual'!$D$2:$D$21,'Contrato Flexível Prioridade'!G27)+'Tela de entrada'!$G$29+'Tela de entrada'!$G$34</f>
        <v>25.5</v>
      </c>
      <c r="M27" s="1">
        <f t="shared" si="3"/>
        <v>9.5</v>
      </c>
      <c r="N27" s="1">
        <f>IF(D27=1,'Tela de entrada'!$G$30-'Tela de entrada'!$G$29,'Tela de entrada'!$G$35-'Tela de entrada'!$G$34)</f>
        <v>10</v>
      </c>
      <c r="O27" s="1">
        <f t="shared" si="4"/>
        <v>0.5</v>
      </c>
      <c r="P27" s="1">
        <f t="shared" si="5"/>
        <v>0.5</v>
      </c>
      <c r="Q27" s="1">
        <f>IF(D27=1,'Tela de entrada'!$G$29+'Contrato Flexível Prioridade'!P27,'Tela de entrada'!$G$34+P27)</f>
        <v>0.5</v>
      </c>
    </row>
    <row r="28" spans="1:17" x14ac:dyDescent="0.25">
      <c r="A28" t="str">
        <f t="shared" si="0"/>
        <v>Contrato 2</v>
      </c>
      <c r="B28" t="str">
        <f t="shared" si="1"/>
        <v>Contrato 27</v>
      </c>
      <c r="C28">
        <v>1</v>
      </c>
      <c r="D28">
        <v>2</v>
      </c>
      <c r="E28">
        <f>IF(AND(A28='Tela de entrada'!$F$33,'Tela de entrada'!$G$36=1),1,IF(AND(A28='Tela de entrada'!$F$33,'Tela de entrada'!$G$36="",'Tela de entrada'!$G$31=2),1,IF(AND('Tela de entrada'!$F$33='Contrato Flexível Prioridade'!A28,'Tela de entrada'!$G$36="",'Tela de entrada'!$G$31=""),2,IF(AND(A28='Tela de entrada'!$F$28,'Tela de entrada'!$G$31=1),1,IF(AND('Tela de entrada'!$F$28='Contrato Flexível Prioridade'!A28,'Tela de entrada'!$G$31=2),2,IF(AND('Tela de entrada'!$F$28='Contrato Flexível Prioridade'!A28,'Tela de entrada'!$G$31="",'Tela de entrada'!$G$36&lt;&gt;1),1,IF(AND('Tela de entrada'!$F$28='Contrato Flexível Prioridade'!A28,'Tela de entrada'!$G$36=""),1,2)))))))</f>
        <v>2</v>
      </c>
      <c r="F28">
        <v>1</v>
      </c>
      <c r="G28">
        <v>7</v>
      </c>
      <c r="H28">
        <v>1</v>
      </c>
      <c r="I28" s="1">
        <f>INDEX('Tela de entrada'!$C$13:$C$32,MATCH(G28,'Tela de entrada'!$B$13:$B$32,0),1)</f>
        <v>40</v>
      </c>
      <c r="J28">
        <v>0</v>
      </c>
      <c r="K28">
        <f t="shared" si="2"/>
        <v>40</v>
      </c>
      <c r="L28" s="1">
        <f>SUMIFS('Contrato Flexível Percentual'!$R$2:$R$21,'Contrato Flexível Percentual'!$C$2:$C$21,'Contrato Flexível Prioridade'!F28,'Contrato Flexível Percentual'!$D$2:$D$21,'Contrato Flexível Prioridade'!G28)+SUMIFS('Contrato Firme'!N$2:N$21,'Contrato Firme'!$C$2:$C$21,'Contrato Flexível Prioridade'!F28,'Contrato Flexível Percentual'!$D$2:$D$21,'Contrato Flexível Prioridade'!G28)+'Tela de entrada'!$G$29+'Tela de entrada'!$G$34</f>
        <v>29</v>
      </c>
      <c r="M28" s="1">
        <f t="shared" si="3"/>
        <v>11</v>
      </c>
      <c r="N28" s="1">
        <f>IF(D28=1,'Tela de entrada'!$G$30-'Tela de entrada'!$G$29,'Tela de entrada'!$G$35-'Tela de entrada'!$G$34)</f>
        <v>10</v>
      </c>
      <c r="O28" s="1">
        <f t="shared" si="4"/>
        <v>2</v>
      </c>
      <c r="P28" s="1">
        <f t="shared" si="5"/>
        <v>2</v>
      </c>
      <c r="Q28" s="1">
        <f>IF(D28=1,'Tela de entrada'!$G$29+'Contrato Flexível Prioridade'!P28,'Tela de entrada'!$G$34+P28)</f>
        <v>2</v>
      </c>
    </row>
    <row r="29" spans="1:17" x14ac:dyDescent="0.25">
      <c r="A29" t="str">
        <f t="shared" si="0"/>
        <v>Contrato 2</v>
      </c>
      <c r="B29" t="str">
        <f t="shared" si="1"/>
        <v>Contrato 28</v>
      </c>
      <c r="C29">
        <v>1</v>
      </c>
      <c r="D29">
        <v>2</v>
      </c>
      <c r="E29">
        <f>IF(AND(A29='Tela de entrada'!$F$33,'Tela de entrada'!$G$36=1),1,IF(AND(A29='Tela de entrada'!$F$33,'Tela de entrada'!$G$36="",'Tela de entrada'!$G$31=2),1,IF(AND('Tela de entrada'!$F$33='Contrato Flexível Prioridade'!A29,'Tela de entrada'!$G$36="",'Tela de entrada'!$G$31=""),2,IF(AND(A29='Tela de entrada'!$F$28,'Tela de entrada'!$G$31=1),1,IF(AND('Tela de entrada'!$F$28='Contrato Flexível Prioridade'!A29,'Tela de entrada'!$G$31=2),2,IF(AND('Tela de entrada'!$F$28='Contrato Flexível Prioridade'!A29,'Tela de entrada'!$G$31="",'Tela de entrada'!$G$36&lt;&gt;1),1,IF(AND('Tela de entrada'!$F$28='Contrato Flexível Prioridade'!A29,'Tela de entrada'!$G$36=""),1,2)))))))</f>
        <v>2</v>
      </c>
      <c r="F29">
        <v>1</v>
      </c>
      <c r="G29">
        <v>8</v>
      </c>
      <c r="H29">
        <v>1</v>
      </c>
      <c r="I29" s="1">
        <f>INDEX('Tela de entrada'!$C$13:$C$32,MATCH(G29,'Tela de entrada'!$B$13:$B$32,0),1)</f>
        <v>50</v>
      </c>
      <c r="J29">
        <v>0</v>
      </c>
      <c r="K29">
        <f t="shared" si="2"/>
        <v>50</v>
      </c>
      <c r="L29" s="1">
        <f>SUMIFS('Contrato Flexível Percentual'!$R$2:$R$21,'Contrato Flexível Percentual'!$C$2:$C$21,'Contrato Flexível Prioridade'!F29,'Contrato Flexível Percentual'!$D$2:$D$21,'Contrato Flexível Prioridade'!G29)+SUMIFS('Contrato Firme'!N$2:N$21,'Contrato Firme'!$C$2:$C$21,'Contrato Flexível Prioridade'!F29,'Contrato Flexível Percentual'!$D$2:$D$21,'Contrato Flexível Prioridade'!G29)+'Tela de entrada'!$G$29+'Tela de entrada'!$G$34</f>
        <v>36</v>
      </c>
      <c r="M29" s="1">
        <f t="shared" si="3"/>
        <v>14</v>
      </c>
      <c r="N29" s="1">
        <f>IF(D29=1,'Tela de entrada'!$G$30-'Tela de entrada'!$G$29,'Tela de entrada'!$G$35-'Tela de entrada'!$G$34)</f>
        <v>10</v>
      </c>
      <c r="O29" s="1">
        <f t="shared" si="4"/>
        <v>5</v>
      </c>
      <c r="P29" s="1">
        <f t="shared" si="5"/>
        <v>5</v>
      </c>
      <c r="Q29" s="1">
        <f>IF(D29=1,'Tela de entrada'!$G$29+'Contrato Flexível Prioridade'!P29,'Tela de entrada'!$G$34+P29)</f>
        <v>5</v>
      </c>
    </row>
    <row r="30" spans="1:17" x14ac:dyDescent="0.25">
      <c r="A30" t="str">
        <f t="shared" si="0"/>
        <v>Contrato 2</v>
      </c>
      <c r="B30" t="str">
        <f t="shared" si="1"/>
        <v>Contrato 29</v>
      </c>
      <c r="C30">
        <v>1</v>
      </c>
      <c r="D30">
        <v>2</v>
      </c>
      <c r="E30">
        <f>IF(AND(A30='Tela de entrada'!$F$33,'Tela de entrada'!$G$36=1),1,IF(AND(A30='Tela de entrada'!$F$33,'Tela de entrada'!$G$36="",'Tela de entrada'!$G$31=2),1,IF(AND('Tela de entrada'!$F$33='Contrato Flexível Prioridade'!A30,'Tela de entrada'!$G$36="",'Tela de entrada'!$G$31=""),2,IF(AND(A30='Tela de entrada'!$F$28,'Tela de entrada'!$G$31=1),1,IF(AND('Tela de entrada'!$F$28='Contrato Flexível Prioridade'!A30,'Tela de entrada'!$G$31=2),2,IF(AND('Tela de entrada'!$F$28='Contrato Flexível Prioridade'!A30,'Tela de entrada'!$G$31="",'Tela de entrada'!$G$36&lt;&gt;1),1,IF(AND('Tela de entrada'!$F$28='Contrato Flexível Prioridade'!A30,'Tela de entrada'!$G$36=""),1,2)))))))</f>
        <v>2</v>
      </c>
      <c r="F30">
        <v>1</v>
      </c>
      <c r="G30">
        <v>9</v>
      </c>
      <c r="H30">
        <v>1</v>
      </c>
      <c r="I30" s="1">
        <f>INDEX('Tela de entrada'!$C$13:$C$32,MATCH(G30,'Tela de entrada'!$B$13:$B$32,0),1)</f>
        <v>50</v>
      </c>
      <c r="J30">
        <v>0</v>
      </c>
      <c r="K30">
        <f t="shared" si="2"/>
        <v>50</v>
      </c>
      <c r="L30" s="1">
        <f>SUMIFS('Contrato Flexível Percentual'!$R$2:$R$21,'Contrato Flexível Percentual'!$C$2:$C$21,'Contrato Flexível Prioridade'!F30,'Contrato Flexível Percentual'!$D$2:$D$21,'Contrato Flexível Prioridade'!G30)+SUMIFS('Contrato Firme'!N$2:N$21,'Contrato Firme'!$C$2:$C$21,'Contrato Flexível Prioridade'!F30,'Contrato Flexível Percentual'!$D$2:$D$21,'Contrato Flexível Prioridade'!G30)+'Tela de entrada'!$G$29+'Tela de entrada'!$G$34</f>
        <v>36</v>
      </c>
      <c r="M30" s="1">
        <f t="shared" si="3"/>
        <v>14</v>
      </c>
      <c r="N30" s="1">
        <f>IF(D30=1,'Tela de entrada'!$G$30-'Tela de entrada'!$G$29,'Tela de entrada'!$G$35-'Tela de entrada'!$G$34)</f>
        <v>10</v>
      </c>
      <c r="O30" s="1">
        <f t="shared" si="4"/>
        <v>5</v>
      </c>
      <c r="P30" s="1">
        <f t="shared" si="5"/>
        <v>5</v>
      </c>
      <c r="Q30" s="1">
        <f>IF(D30=1,'Tela de entrada'!$G$29+'Contrato Flexível Prioridade'!P30,'Tela de entrada'!$G$34+P30)</f>
        <v>5</v>
      </c>
    </row>
    <row r="31" spans="1:17" x14ac:dyDescent="0.25">
      <c r="A31" t="str">
        <f t="shared" si="0"/>
        <v>Contrato 2</v>
      </c>
      <c r="B31" t="str">
        <f t="shared" si="1"/>
        <v>Contrato 210</v>
      </c>
      <c r="C31">
        <v>1</v>
      </c>
      <c r="D31">
        <v>2</v>
      </c>
      <c r="E31">
        <f>IF(AND(A31='Tela de entrada'!$F$33,'Tela de entrada'!$G$36=1),1,IF(AND(A31='Tela de entrada'!$F$33,'Tela de entrada'!$G$36="",'Tela de entrada'!$G$31=2),1,IF(AND('Tela de entrada'!$F$33='Contrato Flexível Prioridade'!A31,'Tela de entrada'!$G$36="",'Tela de entrada'!$G$31=""),2,IF(AND(A31='Tela de entrada'!$F$28,'Tela de entrada'!$G$31=1),1,IF(AND('Tela de entrada'!$F$28='Contrato Flexível Prioridade'!A31,'Tela de entrada'!$G$31=2),2,IF(AND('Tela de entrada'!$F$28='Contrato Flexível Prioridade'!A31,'Tela de entrada'!$G$31="",'Tela de entrada'!$G$36&lt;&gt;1),1,IF(AND('Tela de entrada'!$F$28='Contrato Flexível Prioridade'!A31,'Tela de entrada'!$G$36=""),1,2)))))))</f>
        <v>2</v>
      </c>
      <c r="F31">
        <v>1</v>
      </c>
      <c r="G31">
        <v>10</v>
      </c>
      <c r="H31">
        <v>1</v>
      </c>
      <c r="I31" s="1">
        <f>INDEX('Tela de entrada'!$C$13:$C$32,MATCH(G31,'Tela de entrada'!$B$13:$B$32,0),1)</f>
        <v>60</v>
      </c>
      <c r="J31">
        <v>0</v>
      </c>
      <c r="K31">
        <f t="shared" si="2"/>
        <v>60</v>
      </c>
      <c r="L31" s="1">
        <f>SUMIFS('Contrato Flexível Percentual'!$R$2:$R$21,'Contrato Flexível Percentual'!$C$2:$C$21,'Contrato Flexível Prioridade'!F31,'Contrato Flexível Percentual'!$D$2:$D$21,'Contrato Flexível Prioridade'!G31)+SUMIFS('Contrato Firme'!N$2:N$21,'Contrato Firme'!$C$2:$C$21,'Contrato Flexível Prioridade'!F31,'Contrato Flexível Percentual'!$D$2:$D$21,'Contrato Flexível Prioridade'!G31)+'Tela de entrada'!$G$29+'Tela de entrada'!$G$34</f>
        <v>43</v>
      </c>
      <c r="M31" s="1">
        <f t="shared" si="3"/>
        <v>17</v>
      </c>
      <c r="N31" s="1">
        <f>IF(D31=1,'Tela de entrada'!$G$30-'Tela de entrada'!$G$29,'Tela de entrada'!$G$35-'Tela de entrada'!$G$34)</f>
        <v>10</v>
      </c>
      <c r="O31" s="1">
        <f t="shared" si="4"/>
        <v>8</v>
      </c>
      <c r="P31" s="1">
        <f t="shared" si="5"/>
        <v>8</v>
      </c>
      <c r="Q31" s="1">
        <f>IF(D31=1,'Tela de entrada'!$G$29+'Contrato Flexível Prioridade'!P31,'Tela de entrada'!$G$34+P31)</f>
        <v>8</v>
      </c>
    </row>
    <row r="32" spans="1:17" x14ac:dyDescent="0.25">
      <c r="A32" t="str">
        <f t="shared" si="0"/>
        <v>Contrato 2</v>
      </c>
      <c r="B32" t="str">
        <f t="shared" si="1"/>
        <v>Contrato 211</v>
      </c>
      <c r="C32">
        <v>1</v>
      </c>
      <c r="D32">
        <v>2</v>
      </c>
      <c r="E32">
        <f>IF(AND(A32='Tela de entrada'!$F$33,'Tela de entrada'!$G$36=1),1,IF(AND(A32='Tela de entrada'!$F$33,'Tela de entrada'!$G$36="",'Tela de entrada'!$G$31=2),1,IF(AND('Tela de entrada'!$F$33='Contrato Flexível Prioridade'!A32,'Tela de entrada'!$G$36="",'Tela de entrada'!$G$31=""),2,IF(AND(A32='Tela de entrada'!$F$28,'Tela de entrada'!$G$31=1),1,IF(AND('Tela de entrada'!$F$28='Contrato Flexível Prioridade'!A32,'Tela de entrada'!$G$31=2),2,IF(AND('Tela de entrada'!$F$28='Contrato Flexível Prioridade'!A32,'Tela de entrada'!$G$31="",'Tela de entrada'!$G$36&lt;&gt;1),1,IF(AND('Tela de entrada'!$F$28='Contrato Flexível Prioridade'!A32,'Tela de entrada'!$G$36=""),1,2)))))))</f>
        <v>2</v>
      </c>
      <c r="F32">
        <v>1</v>
      </c>
      <c r="G32">
        <v>11</v>
      </c>
      <c r="H32">
        <v>1</v>
      </c>
      <c r="I32" s="1">
        <f>INDEX('Tela de entrada'!$C$13:$C$32,MATCH(G32,'Tela de entrada'!$B$13:$B$32,0),1)</f>
        <v>65</v>
      </c>
      <c r="J32">
        <v>0</v>
      </c>
      <c r="K32">
        <f t="shared" si="2"/>
        <v>65</v>
      </c>
      <c r="L32" s="1">
        <f>SUMIFS('Contrato Flexível Percentual'!$R$2:$R$21,'Contrato Flexível Percentual'!$C$2:$C$21,'Contrato Flexível Prioridade'!F32,'Contrato Flexível Percentual'!$D$2:$D$21,'Contrato Flexível Prioridade'!G32)+SUMIFS('Contrato Firme'!N$2:N$21,'Contrato Firme'!$C$2:$C$21,'Contrato Flexível Prioridade'!F32,'Contrato Flexível Percentual'!$D$2:$D$21,'Contrato Flexível Prioridade'!G32)+'Tela de entrada'!$G$29+'Tela de entrada'!$G$34</f>
        <v>46.5</v>
      </c>
      <c r="M32" s="1">
        <f t="shared" si="3"/>
        <v>18.5</v>
      </c>
      <c r="N32" s="1">
        <f>IF(D32=1,'Tela de entrada'!$G$30-'Tela de entrada'!$G$29,'Tela de entrada'!$G$35-'Tela de entrada'!$G$34)</f>
        <v>10</v>
      </c>
      <c r="O32" s="1">
        <f t="shared" si="4"/>
        <v>9.5</v>
      </c>
      <c r="P32" s="1">
        <f t="shared" si="5"/>
        <v>9.5</v>
      </c>
      <c r="Q32" s="1">
        <f>IF(D32=1,'Tela de entrada'!$G$29+'Contrato Flexível Prioridade'!P32,'Tela de entrada'!$G$34+P32)</f>
        <v>9.5</v>
      </c>
    </row>
    <row r="33" spans="1:17" x14ac:dyDescent="0.25">
      <c r="A33" t="str">
        <f t="shared" si="0"/>
        <v>Contrato 2</v>
      </c>
      <c r="B33" t="str">
        <f t="shared" si="1"/>
        <v>Contrato 212</v>
      </c>
      <c r="C33">
        <v>1</v>
      </c>
      <c r="D33">
        <v>2</v>
      </c>
      <c r="E33">
        <f>IF(AND(A33='Tela de entrada'!$F$33,'Tela de entrada'!$G$36=1),1,IF(AND(A33='Tela de entrada'!$F$33,'Tela de entrada'!$G$36="",'Tela de entrada'!$G$31=2),1,IF(AND('Tela de entrada'!$F$33='Contrato Flexível Prioridade'!A33,'Tela de entrada'!$G$36="",'Tela de entrada'!$G$31=""),2,IF(AND(A33='Tela de entrada'!$F$28,'Tela de entrada'!$G$31=1),1,IF(AND('Tela de entrada'!$F$28='Contrato Flexível Prioridade'!A33,'Tela de entrada'!$G$31=2),2,IF(AND('Tela de entrada'!$F$28='Contrato Flexível Prioridade'!A33,'Tela de entrada'!$G$31="",'Tela de entrada'!$G$36&lt;&gt;1),1,IF(AND('Tela de entrada'!$F$28='Contrato Flexível Prioridade'!A33,'Tela de entrada'!$G$36=""),1,2)))))))</f>
        <v>2</v>
      </c>
      <c r="F33">
        <v>1</v>
      </c>
      <c r="G33">
        <v>12</v>
      </c>
      <c r="H33">
        <v>1</v>
      </c>
      <c r="I33" s="1">
        <f>INDEX('Tela de entrada'!$C$13:$C$32,MATCH(G33,'Tela de entrada'!$B$13:$B$32,0),1)</f>
        <v>60</v>
      </c>
      <c r="J33">
        <v>0</v>
      </c>
      <c r="K33">
        <f t="shared" si="2"/>
        <v>60</v>
      </c>
      <c r="L33" s="1">
        <f>SUMIFS('Contrato Flexível Percentual'!$R$2:$R$21,'Contrato Flexível Percentual'!$C$2:$C$21,'Contrato Flexível Prioridade'!F33,'Contrato Flexível Percentual'!$D$2:$D$21,'Contrato Flexível Prioridade'!G33)+SUMIFS('Contrato Firme'!N$2:N$21,'Contrato Firme'!$C$2:$C$21,'Contrato Flexível Prioridade'!F33,'Contrato Flexível Percentual'!$D$2:$D$21,'Contrato Flexível Prioridade'!G33)+'Tela de entrada'!$G$29+'Tela de entrada'!$G$34</f>
        <v>43</v>
      </c>
      <c r="M33" s="1">
        <f t="shared" si="3"/>
        <v>17</v>
      </c>
      <c r="N33" s="1">
        <f>IF(D33=1,'Tela de entrada'!$G$30-'Tela de entrada'!$G$29,'Tela de entrada'!$G$35-'Tela de entrada'!$G$34)</f>
        <v>10</v>
      </c>
      <c r="O33" s="1">
        <f t="shared" si="4"/>
        <v>8</v>
      </c>
      <c r="P33" s="1">
        <f t="shared" si="5"/>
        <v>8</v>
      </c>
      <c r="Q33" s="1">
        <f>IF(D33=1,'Tela de entrada'!$G$29+'Contrato Flexível Prioridade'!P33,'Tela de entrada'!$G$34+P33)</f>
        <v>8</v>
      </c>
    </row>
    <row r="34" spans="1:17" x14ac:dyDescent="0.25">
      <c r="A34" t="str">
        <f t="shared" si="0"/>
        <v>Contrato 2</v>
      </c>
      <c r="B34" t="str">
        <f t="shared" si="1"/>
        <v>Contrato 213</v>
      </c>
      <c r="C34">
        <v>1</v>
      </c>
      <c r="D34">
        <v>2</v>
      </c>
      <c r="E34">
        <f>IF(AND(A34='Tela de entrada'!$F$33,'Tela de entrada'!$G$36=1),1,IF(AND(A34='Tela de entrada'!$F$33,'Tela de entrada'!$G$36="",'Tela de entrada'!$G$31=2),1,IF(AND('Tela de entrada'!$F$33='Contrato Flexível Prioridade'!A34,'Tela de entrada'!$G$36="",'Tela de entrada'!$G$31=""),2,IF(AND(A34='Tela de entrada'!$F$28,'Tela de entrada'!$G$31=1),1,IF(AND('Tela de entrada'!$F$28='Contrato Flexível Prioridade'!A34,'Tela de entrada'!$G$31=2),2,IF(AND('Tela de entrada'!$F$28='Contrato Flexível Prioridade'!A34,'Tela de entrada'!$G$31="",'Tela de entrada'!$G$36&lt;&gt;1),1,IF(AND('Tela de entrada'!$F$28='Contrato Flexível Prioridade'!A34,'Tela de entrada'!$G$36=""),1,2)))))))</f>
        <v>2</v>
      </c>
      <c r="F34">
        <v>1</v>
      </c>
      <c r="G34">
        <v>13</v>
      </c>
      <c r="H34">
        <v>1</v>
      </c>
      <c r="I34" s="1">
        <f>INDEX('Tela de entrada'!$C$13:$C$32,MATCH(G34,'Tela de entrada'!$B$13:$B$32,0),1)</f>
        <v>55</v>
      </c>
      <c r="J34">
        <v>0</v>
      </c>
      <c r="K34">
        <f t="shared" si="2"/>
        <v>55</v>
      </c>
      <c r="L34" s="1">
        <f>SUMIFS('Contrato Flexível Percentual'!$R$2:$R$21,'Contrato Flexível Percentual'!$C$2:$C$21,'Contrato Flexível Prioridade'!F34,'Contrato Flexível Percentual'!$D$2:$D$21,'Contrato Flexível Prioridade'!G34)+SUMIFS('Contrato Firme'!N$2:N$21,'Contrato Firme'!$C$2:$C$21,'Contrato Flexível Prioridade'!F34,'Contrato Flexível Percentual'!$D$2:$D$21,'Contrato Flexível Prioridade'!G34)+'Tela de entrada'!$G$29+'Tela de entrada'!$G$34</f>
        <v>39.5</v>
      </c>
      <c r="M34" s="1">
        <f t="shared" si="3"/>
        <v>15.5</v>
      </c>
      <c r="N34" s="1">
        <f>IF(D34=1,'Tela de entrada'!$G$30-'Tela de entrada'!$G$29,'Tela de entrada'!$G$35-'Tela de entrada'!$G$34)</f>
        <v>10</v>
      </c>
      <c r="O34" s="1">
        <f t="shared" si="4"/>
        <v>6.5</v>
      </c>
      <c r="P34" s="1">
        <f t="shared" si="5"/>
        <v>6.5</v>
      </c>
      <c r="Q34" s="1">
        <f>IF(D34=1,'Tela de entrada'!$G$29+'Contrato Flexível Prioridade'!P34,'Tela de entrada'!$G$34+P34)</f>
        <v>6.5</v>
      </c>
    </row>
    <row r="35" spans="1:17" x14ac:dyDescent="0.25">
      <c r="A35" t="str">
        <f t="shared" si="0"/>
        <v>Contrato 2</v>
      </c>
      <c r="B35" t="str">
        <f t="shared" si="1"/>
        <v>Contrato 214</v>
      </c>
      <c r="C35">
        <v>1</v>
      </c>
      <c r="D35">
        <v>2</v>
      </c>
      <c r="E35">
        <f>IF(AND(A35='Tela de entrada'!$F$33,'Tela de entrada'!$G$36=1),1,IF(AND(A35='Tela de entrada'!$F$33,'Tela de entrada'!$G$36="",'Tela de entrada'!$G$31=2),1,IF(AND('Tela de entrada'!$F$33='Contrato Flexível Prioridade'!A35,'Tela de entrada'!$G$36="",'Tela de entrada'!$G$31=""),2,IF(AND(A35='Tela de entrada'!$F$28,'Tela de entrada'!$G$31=1),1,IF(AND('Tela de entrada'!$F$28='Contrato Flexível Prioridade'!A35,'Tela de entrada'!$G$31=2),2,IF(AND('Tela de entrada'!$F$28='Contrato Flexível Prioridade'!A35,'Tela de entrada'!$G$31="",'Tela de entrada'!$G$36&lt;&gt;1),1,IF(AND('Tela de entrada'!$F$28='Contrato Flexível Prioridade'!A35,'Tela de entrada'!$G$36=""),1,2)))))))</f>
        <v>2</v>
      </c>
      <c r="F35">
        <v>1</v>
      </c>
      <c r="G35">
        <v>14</v>
      </c>
      <c r="H35">
        <v>1</v>
      </c>
      <c r="I35" s="1">
        <f>INDEX('Tela de entrada'!$C$13:$C$32,MATCH(G35,'Tela de entrada'!$B$13:$B$32,0),1)</f>
        <v>60</v>
      </c>
      <c r="J35">
        <v>0</v>
      </c>
      <c r="K35">
        <f t="shared" si="2"/>
        <v>60</v>
      </c>
      <c r="L35" s="1">
        <f>SUMIFS('Contrato Flexível Percentual'!$R$2:$R$21,'Contrato Flexível Percentual'!$C$2:$C$21,'Contrato Flexível Prioridade'!F35,'Contrato Flexível Percentual'!$D$2:$D$21,'Contrato Flexível Prioridade'!G35)+SUMIFS('Contrato Firme'!N$2:N$21,'Contrato Firme'!$C$2:$C$21,'Contrato Flexível Prioridade'!F35,'Contrato Flexível Percentual'!$D$2:$D$21,'Contrato Flexível Prioridade'!G35)+'Tela de entrada'!$G$29+'Tela de entrada'!$G$34</f>
        <v>43</v>
      </c>
      <c r="M35" s="1">
        <f t="shared" si="3"/>
        <v>17</v>
      </c>
      <c r="N35" s="1">
        <f>IF(D35=1,'Tela de entrada'!$G$30-'Tela de entrada'!$G$29,'Tela de entrada'!$G$35-'Tela de entrada'!$G$34)</f>
        <v>10</v>
      </c>
      <c r="O35" s="1">
        <f t="shared" si="4"/>
        <v>8</v>
      </c>
      <c r="P35" s="1">
        <f t="shared" si="5"/>
        <v>8</v>
      </c>
      <c r="Q35" s="1">
        <f>IF(D35=1,'Tela de entrada'!$G$29+'Contrato Flexível Prioridade'!P35,'Tela de entrada'!$G$34+P35)</f>
        <v>8</v>
      </c>
    </row>
    <row r="36" spans="1:17" x14ac:dyDescent="0.25">
      <c r="A36" t="str">
        <f t="shared" si="0"/>
        <v>Contrato 2</v>
      </c>
      <c r="B36" t="str">
        <f t="shared" si="1"/>
        <v>Contrato 215</v>
      </c>
      <c r="C36">
        <v>1</v>
      </c>
      <c r="D36">
        <v>2</v>
      </c>
      <c r="E36">
        <f>IF(AND(A36='Tela de entrada'!$F$33,'Tela de entrada'!$G$36=1),1,IF(AND(A36='Tela de entrada'!$F$33,'Tela de entrada'!$G$36="",'Tela de entrada'!$G$31=2),1,IF(AND('Tela de entrada'!$F$33='Contrato Flexível Prioridade'!A36,'Tela de entrada'!$G$36="",'Tela de entrada'!$G$31=""),2,IF(AND(A36='Tela de entrada'!$F$28,'Tela de entrada'!$G$31=1),1,IF(AND('Tela de entrada'!$F$28='Contrato Flexível Prioridade'!A36,'Tela de entrada'!$G$31=2),2,IF(AND('Tela de entrada'!$F$28='Contrato Flexível Prioridade'!A36,'Tela de entrada'!$G$31="",'Tela de entrada'!$G$36&lt;&gt;1),1,IF(AND('Tela de entrada'!$F$28='Contrato Flexível Prioridade'!A36,'Tela de entrada'!$G$36=""),1,2)))))))</f>
        <v>2</v>
      </c>
      <c r="F36">
        <v>1</v>
      </c>
      <c r="G36">
        <v>15</v>
      </c>
      <c r="H36">
        <v>1</v>
      </c>
      <c r="I36" s="1">
        <f>INDEX('Tela de entrada'!$C$13:$C$32,MATCH(G36,'Tela de entrada'!$B$13:$B$32,0),1)</f>
        <v>60</v>
      </c>
      <c r="J36">
        <v>0</v>
      </c>
      <c r="K36">
        <f t="shared" si="2"/>
        <v>60</v>
      </c>
      <c r="L36" s="1">
        <f>SUMIFS('Contrato Flexível Percentual'!$R$2:$R$21,'Contrato Flexível Percentual'!$C$2:$C$21,'Contrato Flexível Prioridade'!F36,'Contrato Flexível Percentual'!$D$2:$D$21,'Contrato Flexível Prioridade'!G36)+SUMIFS('Contrato Firme'!N$2:N$21,'Contrato Firme'!$C$2:$C$21,'Contrato Flexível Prioridade'!F36,'Contrato Flexível Percentual'!$D$2:$D$21,'Contrato Flexível Prioridade'!G36)+'Tela de entrada'!$G$29+'Tela de entrada'!$G$34</f>
        <v>43</v>
      </c>
      <c r="M36" s="1">
        <f t="shared" si="3"/>
        <v>17</v>
      </c>
      <c r="N36" s="1">
        <f>IF(D36=1,'Tela de entrada'!$G$30-'Tela de entrada'!$G$29,'Tela de entrada'!$G$35-'Tela de entrada'!$G$34)</f>
        <v>10</v>
      </c>
      <c r="O36" s="1">
        <f t="shared" si="4"/>
        <v>8</v>
      </c>
      <c r="P36" s="1">
        <f t="shared" si="5"/>
        <v>8</v>
      </c>
      <c r="Q36" s="1">
        <f>IF(D36=1,'Tela de entrada'!$G$29+'Contrato Flexível Prioridade'!P36,'Tela de entrada'!$G$34+P36)</f>
        <v>8</v>
      </c>
    </row>
    <row r="37" spans="1:17" x14ac:dyDescent="0.25">
      <c r="A37" t="str">
        <f t="shared" si="0"/>
        <v>Contrato 2</v>
      </c>
      <c r="B37" t="str">
        <f t="shared" si="1"/>
        <v>Contrato 216</v>
      </c>
      <c r="C37">
        <v>1</v>
      </c>
      <c r="D37">
        <v>2</v>
      </c>
      <c r="E37">
        <f>IF(AND(A37='Tela de entrada'!$F$33,'Tela de entrada'!$G$36=1),1,IF(AND(A37='Tela de entrada'!$F$33,'Tela de entrada'!$G$36="",'Tela de entrada'!$G$31=2),1,IF(AND('Tela de entrada'!$F$33='Contrato Flexível Prioridade'!A37,'Tela de entrada'!$G$36="",'Tela de entrada'!$G$31=""),2,IF(AND(A37='Tela de entrada'!$F$28,'Tela de entrada'!$G$31=1),1,IF(AND('Tela de entrada'!$F$28='Contrato Flexível Prioridade'!A37,'Tela de entrada'!$G$31=2),2,IF(AND('Tela de entrada'!$F$28='Contrato Flexível Prioridade'!A37,'Tela de entrada'!$G$31="",'Tela de entrada'!$G$36&lt;&gt;1),1,IF(AND('Tela de entrada'!$F$28='Contrato Flexível Prioridade'!A37,'Tela de entrada'!$G$36=""),1,2)))))))</f>
        <v>2</v>
      </c>
      <c r="F37">
        <v>1</v>
      </c>
      <c r="G37">
        <v>16</v>
      </c>
      <c r="H37">
        <v>1</v>
      </c>
      <c r="I37" s="1">
        <f>INDEX('Tela de entrada'!$C$13:$C$32,MATCH(G37,'Tela de entrada'!$B$13:$B$32,0),1)</f>
        <v>50</v>
      </c>
      <c r="J37">
        <v>0</v>
      </c>
      <c r="K37">
        <f t="shared" si="2"/>
        <v>50</v>
      </c>
      <c r="L37" s="1">
        <f>SUMIFS('Contrato Flexível Percentual'!$R$2:$R$21,'Contrato Flexível Percentual'!$C$2:$C$21,'Contrato Flexível Prioridade'!F37,'Contrato Flexível Percentual'!$D$2:$D$21,'Contrato Flexível Prioridade'!G37)+SUMIFS('Contrato Firme'!N$2:N$21,'Contrato Firme'!$C$2:$C$21,'Contrato Flexível Prioridade'!F37,'Contrato Flexível Percentual'!$D$2:$D$21,'Contrato Flexível Prioridade'!G37)+'Tela de entrada'!$G$29+'Tela de entrada'!$G$34</f>
        <v>36</v>
      </c>
      <c r="M37" s="1">
        <f t="shared" si="3"/>
        <v>14</v>
      </c>
      <c r="N37" s="1">
        <f>IF(D37=1,'Tela de entrada'!$G$30-'Tela de entrada'!$G$29,'Tela de entrada'!$G$35-'Tela de entrada'!$G$34)</f>
        <v>10</v>
      </c>
      <c r="O37" s="1">
        <f t="shared" si="4"/>
        <v>5</v>
      </c>
      <c r="P37" s="1">
        <f t="shared" si="5"/>
        <v>5</v>
      </c>
      <c r="Q37" s="1">
        <f>IF(D37=1,'Tela de entrada'!$G$29+'Contrato Flexível Prioridade'!P37,'Tela de entrada'!$G$34+P37)</f>
        <v>5</v>
      </c>
    </row>
    <row r="38" spans="1:17" x14ac:dyDescent="0.25">
      <c r="A38" t="str">
        <f t="shared" si="0"/>
        <v>Contrato 2</v>
      </c>
      <c r="B38" t="str">
        <f t="shared" si="1"/>
        <v>Contrato 217</v>
      </c>
      <c r="C38">
        <v>1</v>
      </c>
      <c r="D38">
        <v>2</v>
      </c>
      <c r="E38">
        <f>IF(AND(A38='Tela de entrada'!$F$33,'Tela de entrada'!$G$36=1),1,IF(AND(A38='Tela de entrada'!$F$33,'Tela de entrada'!$G$36="",'Tela de entrada'!$G$31=2),1,IF(AND('Tela de entrada'!$F$33='Contrato Flexível Prioridade'!A38,'Tela de entrada'!$G$36="",'Tela de entrada'!$G$31=""),2,IF(AND(A38='Tela de entrada'!$F$28,'Tela de entrada'!$G$31=1),1,IF(AND('Tela de entrada'!$F$28='Contrato Flexível Prioridade'!A38,'Tela de entrada'!$G$31=2),2,IF(AND('Tela de entrada'!$F$28='Contrato Flexível Prioridade'!A38,'Tela de entrada'!$G$31="",'Tela de entrada'!$G$36&lt;&gt;1),1,IF(AND('Tela de entrada'!$F$28='Contrato Flexível Prioridade'!A38,'Tela de entrada'!$G$36=""),1,2)))))))</f>
        <v>2</v>
      </c>
      <c r="F38">
        <v>1</v>
      </c>
      <c r="G38">
        <v>17</v>
      </c>
      <c r="H38">
        <v>1</v>
      </c>
      <c r="I38" s="1">
        <f>INDEX('Tela de entrada'!$C$13:$C$32,MATCH(G38,'Tela de entrada'!$B$13:$B$32,0),1)</f>
        <v>45</v>
      </c>
      <c r="J38">
        <v>0</v>
      </c>
      <c r="K38">
        <f t="shared" si="2"/>
        <v>45</v>
      </c>
      <c r="L38" s="1">
        <f>SUMIFS('Contrato Flexível Percentual'!$R$2:$R$21,'Contrato Flexível Percentual'!$C$2:$C$21,'Contrato Flexível Prioridade'!F38,'Contrato Flexível Percentual'!$D$2:$D$21,'Contrato Flexível Prioridade'!G38)+SUMIFS('Contrato Firme'!N$2:N$21,'Contrato Firme'!$C$2:$C$21,'Contrato Flexível Prioridade'!F38,'Contrato Flexível Percentual'!$D$2:$D$21,'Contrato Flexível Prioridade'!G38)+'Tela de entrada'!$G$29+'Tela de entrada'!$G$34</f>
        <v>32.5</v>
      </c>
      <c r="M38" s="1">
        <f t="shared" si="3"/>
        <v>12.5</v>
      </c>
      <c r="N38" s="1">
        <f>IF(D38=1,'Tela de entrada'!$G$30-'Tela de entrada'!$G$29,'Tela de entrada'!$G$35-'Tela de entrada'!$G$34)</f>
        <v>10</v>
      </c>
      <c r="O38" s="1">
        <f t="shared" si="4"/>
        <v>3.5</v>
      </c>
      <c r="P38" s="1">
        <f t="shared" si="5"/>
        <v>3.5</v>
      </c>
      <c r="Q38" s="1">
        <f>IF(D38=1,'Tela de entrada'!$G$29+'Contrato Flexível Prioridade'!P38,'Tela de entrada'!$G$34+P38)</f>
        <v>3.5</v>
      </c>
    </row>
    <row r="39" spans="1:17" x14ac:dyDescent="0.25">
      <c r="A39" t="str">
        <f t="shared" si="0"/>
        <v>Contrato 2</v>
      </c>
      <c r="B39" t="str">
        <f t="shared" si="1"/>
        <v>Contrato 218</v>
      </c>
      <c r="C39">
        <v>1</v>
      </c>
      <c r="D39">
        <v>2</v>
      </c>
      <c r="E39">
        <f>IF(AND(A39='Tela de entrada'!$F$33,'Tela de entrada'!$G$36=1),1,IF(AND(A39='Tela de entrada'!$F$33,'Tela de entrada'!$G$36="",'Tela de entrada'!$G$31=2),1,IF(AND('Tela de entrada'!$F$33='Contrato Flexível Prioridade'!A39,'Tela de entrada'!$G$36="",'Tela de entrada'!$G$31=""),2,IF(AND(A39='Tela de entrada'!$F$28,'Tela de entrada'!$G$31=1),1,IF(AND('Tela de entrada'!$F$28='Contrato Flexível Prioridade'!A39,'Tela de entrada'!$G$31=2),2,IF(AND('Tela de entrada'!$F$28='Contrato Flexível Prioridade'!A39,'Tela de entrada'!$G$31="",'Tela de entrada'!$G$36&lt;&gt;1),1,IF(AND('Tela de entrada'!$F$28='Contrato Flexível Prioridade'!A39,'Tela de entrada'!$G$36=""),1,2)))))))</f>
        <v>2</v>
      </c>
      <c r="F39">
        <v>1</v>
      </c>
      <c r="G39">
        <v>18</v>
      </c>
      <c r="H39">
        <v>1</v>
      </c>
      <c r="I39" s="1">
        <f>INDEX('Tela de entrada'!$C$13:$C$32,MATCH(G39,'Tela de entrada'!$B$13:$B$32,0),1)</f>
        <v>40</v>
      </c>
      <c r="J39">
        <v>0</v>
      </c>
      <c r="K39">
        <f t="shared" si="2"/>
        <v>40</v>
      </c>
      <c r="L39" s="1">
        <f>SUMIFS('Contrato Flexível Percentual'!$R$2:$R$21,'Contrato Flexível Percentual'!$C$2:$C$21,'Contrato Flexível Prioridade'!F39,'Contrato Flexível Percentual'!$D$2:$D$21,'Contrato Flexível Prioridade'!G39)+SUMIFS('Contrato Firme'!N$2:N$21,'Contrato Firme'!$C$2:$C$21,'Contrato Flexível Prioridade'!F39,'Contrato Flexível Percentual'!$D$2:$D$21,'Contrato Flexível Prioridade'!G39)+'Tela de entrada'!$G$29+'Tela de entrada'!$G$34</f>
        <v>29</v>
      </c>
      <c r="M39" s="1">
        <f t="shared" si="3"/>
        <v>11</v>
      </c>
      <c r="N39" s="1">
        <f>IF(D39=1,'Tela de entrada'!$G$30-'Tela de entrada'!$G$29,'Tela de entrada'!$G$35-'Tela de entrada'!$G$34)</f>
        <v>10</v>
      </c>
      <c r="O39" s="1">
        <f t="shared" si="4"/>
        <v>2</v>
      </c>
      <c r="P39" s="1">
        <f t="shared" si="5"/>
        <v>2</v>
      </c>
      <c r="Q39" s="1">
        <f>IF(D39=1,'Tela de entrada'!$G$29+'Contrato Flexível Prioridade'!P39,'Tela de entrada'!$G$34+P39)</f>
        <v>2</v>
      </c>
    </row>
    <row r="40" spans="1:17" x14ac:dyDescent="0.25">
      <c r="A40" t="str">
        <f t="shared" si="0"/>
        <v>Contrato 2</v>
      </c>
      <c r="B40" t="str">
        <f t="shared" si="1"/>
        <v>Contrato 219</v>
      </c>
      <c r="C40">
        <v>1</v>
      </c>
      <c r="D40">
        <v>2</v>
      </c>
      <c r="E40">
        <f>IF(AND(A40='Tela de entrada'!$F$33,'Tela de entrada'!$G$36=1),1,IF(AND(A40='Tela de entrada'!$F$33,'Tela de entrada'!$G$36="",'Tela de entrada'!$G$31=2),1,IF(AND('Tela de entrada'!$F$33='Contrato Flexível Prioridade'!A40,'Tela de entrada'!$G$36="",'Tela de entrada'!$G$31=""),2,IF(AND(A40='Tela de entrada'!$F$28,'Tela de entrada'!$G$31=1),1,IF(AND('Tela de entrada'!$F$28='Contrato Flexível Prioridade'!A40,'Tela de entrada'!$G$31=2),2,IF(AND('Tela de entrada'!$F$28='Contrato Flexível Prioridade'!A40,'Tela de entrada'!$G$31="",'Tela de entrada'!$G$36&lt;&gt;1),1,IF(AND('Tela de entrada'!$F$28='Contrato Flexível Prioridade'!A40,'Tela de entrada'!$G$36=""),1,2)))))))</f>
        <v>2</v>
      </c>
      <c r="F40">
        <v>1</v>
      </c>
      <c r="G40">
        <v>19</v>
      </c>
      <c r="H40">
        <v>1</v>
      </c>
      <c r="I40" s="1">
        <f>INDEX('Tela de entrada'!$C$13:$C$32,MATCH(G40,'Tela de entrada'!$B$13:$B$32,0),1)</f>
        <v>30</v>
      </c>
      <c r="J40">
        <v>0</v>
      </c>
      <c r="K40">
        <f t="shared" si="2"/>
        <v>30</v>
      </c>
      <c r="L40" s="1">
        <f>SUMIFS('Contrato Flexível Percentual'!$R$2:$R$21,'Contrato Flexível Percentual'!$C$2:$C$21,'Contrato Flexível Prioridade'!F40,'Contrato Flexível Percentual'!$D$2:$D$21,'Contrato Flexível Prioridade'!G40)+SUMIFS('Contrato Firme'!N$2:N$21,'Contrato Firme'!$C$2:$C$21,'Contrato Flexível Prioridade'!F40,'Contrato Flexível Percentual'!$D$2:$D$21,'Contrato Flexível Prioridade'!G40)+'Tela de entrada'!$G$29+'Tela de entrada'!$G$34</f>
        <v>22</v>
      </c>
      <c r="M40" s="1">
        <f t="shared" si="3"/>
        <v>8</v>
      </c>
      <c r="N40" s="1">
        <f>IF(D40=1,'Tela de entrada'!$G$30-'Tela de entrada'!$G$29,'Tela de entrada'!$G$35-'Tela de entrada'!$G$34)</f>
        <v>10</v>
      </c>
      <c r="O40" s="1">
        <f t="shared" si="4"/>
        <v>0</v>
      </c>
      <c r="P40" s="1">
        <f t="shared" si="5"/>
        <v>0</v>
      </c>
      <c r="Q40" s="1">
        <f>IF(D40=1,'Tela de entrada'!$G$29+'Contrato Flexível Prioridade'!P40,'Tela de entrada'!$G$34+P40)</f>
        <v>0</v>
      </c>
    </row>
    <row r="41" spans="1:17" x14ac:dyDescent="0.25">
      <c r="A41" t="str">
        <f t="shared" si="0"/>
        <v>Contrato 2</v>
      </c>
      <c r="B41" t="str">
        <f t="shared" si="1"/>
        <v>Contrato 220</v>
      </c>
      <c r="C41">
        <v>1</v>
      </c>
      <c r="D41">
        <v>2</v>
      </c>
      <c r="E41">
        <f>IF(AND(A41='Tela de entrada'!$F$33,'Tela de entrada'!$G$36=1),1,IF(AND(A41='Tela de entrada'!$F$33,'Tela de entrada'!$G$36="",'Tela de entrada'!$G$31=2),1,IF(AND('Tela de entrada'!$F$33='Contrato Flexível Prioridade'!A41,'Tela de entrada'!$G$36="",'Tela de entrada'!$G$31=""),2,IF(AND(A41='Tela de entrada'!$F$28,'Tela de entrada'!$G$31=1),1,IF(AND('Tela de entrada'!$F$28='Contrato Flexível Prioridade'!A41,'Tela de entrada'!$G$31=2),2,IF(AND('Tela de entrada'!$F$28='Contrato Flexível Prioridade'!A41,'Tela de entrada'!$G$31="",'Tela de entrada'!$G$36&lt;&gt;1),1,IF(AND('Tela de entrada'!$F$28='Contrato Flexível Prioridade'!A41,'Tela de entrada'!$G$36=""),1,2)))))))</f>
        <v>2</v>
      </c>
      <c r="F41">
        <v>1</v>
      </c>
      <c r="G41">
        <v>20</v>
      </c>
      <c r="H41">
        <v>1</v>
      </c>
      <c r="I41" s="1">
        <f>INDEX('Tela de entrada'!$C$13:$C$32,MATCH(G41,'Tela de entrada'!$B$13:$B$32,0),1)</f>
        <v>25</v>
      </c>
      <c r="J41">
        <v>0</v>
      </c>
      <c r="K41">
        <f t="shared" si="2"/>
        <v>25</v>
      </c>
      <c r="L41" s="1">
        <f>SUMIFS('Contrato Flexível Percentual'!$R$2:$R$21,'Contrato Flexível Percentual'!$C$2:$C$21,'Contrato Flexível Prioridade'!F41,'Contrato Flexível Percentual'!$D$2:$D$21,'Contrato Flexível Prioridade'!G41)+SUMIFS('Contrato Firme'!N$2:N$21,'Contrato Firme'!$C$2:$C$21,'Contrato Flexível Prioridade'!F41,'Contrato Flexível Percentual'!$D$2:$D$21,'Contrato Flexível Prioridade'!G41)+'Tela de entrada'!$G$29+'Tela de entrada'!$G$34</f>
        <v>18.5</v>
      </c>
      <c r="M41" s="1">
        <f t="shared" si="3"/>
        <v>6.5</v>
      </c>
      <c r="N41" s="1">
        <f>IF(D41=1,'Tela de entrada'!$G$30-'Tela de entrada'!$G$29,'Tela de entrada'!$G$35-'Tela de entrada'!$G$34)</f>
        <v>10</v>
      </c>
      <c r="O41" s="1">
        <f t="shared" si="4"/>
        <v>0</v>
      </c>
      <c r="P41" s="1">
        <f t="shared" si="5"/>
        <v>0</v>
      </c>
      <c r="Q41" s="1">
        <f>IF(D41=1,'Tela de entrada'!$G$29+'Contrato Flexível Prioridade'!P41,'Tela de entrada'!$G$34+P41)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zoomScale="85" zoomScaleNormal="85" workbookViewId="0">
      <selection activeCell="E7" sqref="E7:G7"/>
    </sheetView>
  </sheetViews>
  <sheetFormatPr defaultRowHeight="12.75" x14ac:dyDescent="0.2"/>
  <cols>
    <col min="1" max="1" width="5.42578125" style="6" customWidth="1"/>
    <col min="2" max="3" width="9.140625" style="6"/>
    <col min="4" max="4" width="4.28515625" style="6" customWidth="1"/>
    <col min="5" max="5" width="35.7109375" style="6" customWidth="1"/>
    <col min="6" max="6" width="9.140625" style="6"/>
    <col min="7" max="7" width="21.42578125" style="6" bestFit="1" customWidth="1"/>
    <col min="8" max="8" width="4.140625" style="6" customWidth="1"/>
    <col min="9" max="11" width="6.140625" style="6" customWidth="1"/>
    <col min="12" max="12" width="6.140625" style="7" customWidth="1"/>
    <col min="13" max="28" width="6.140625" style="6" customWidth="1"/>
    <col min="29" max="16384" width="9.140625" style="6"/>
  </cols>
  <sheetData>
    <row r="1" spans="1:28" x14ac:dyDescent="0.2">
      <c r="A1" s="119" t="s">
        <v>46</v>
      </c>
      <c r="B1" s="119"/>
      <c r="C1" s="119"/>
      <c r="D1" s="9"/>
      <c r="E1" s="119" t="s">
        <v>32</v>
      </c>
      <c r="F1" s="119"/>
      <c r="G1" s="119"/>
      <c r="H1" s="9"/>
      <c r="I1" s="119" t="s">
        <v>43</v>
      </c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28" x14ac:dyDescent="0.2">
      <c r="A2" s="6" t="s">
        <v>48</v>
      </c>
      <c r="B2" s="118" t="s">
        <v>14</v>
      </c>
      <c r="C2" s="118"/>
      <c r="E2" s="10" t="s">
        <v>33</v>
      </c>
      <c r="F2" s="8"/>
      <c r="G2" s="6" t="s">
        <v>34</v>
      </c>
      <c r="I2" s="6">
        <v>1</v>
      </c>
      <c r="J2" s="6">
        <v>2</v>
      </c>
      <c r="K2" s="6">
        <v>3</v>
      </c>
      <c r="L2" s="6">
        <v>4</v>
      </c>
      <c r="M2" s="6">
        <v>5</v>
      </c>
      <c r="N2" s="6">
        <v>6</v>
      </c>
      <c r="O2" s="6">
        <v>7</v>
      </c>
      <c r="P2" s="6">
        <v>8</v>
      </c>
      <c r="Q2" s="6">
        <v>9</v>
      </c>
      <c r="R2" s="6">
        <v>10</v>
      </c>
      <c r="S2" s="6">
        <v>11</v>
      </c>
      <c r="T2" s="6">
        <v>12</v>
      </c>
      <c r="U2" s="6">
        <v>13</v>
      </c>
      <c r="V2" s="6">
        <v>14</v>
      </c>
      <c r="W2" s="6">
        <v>15</v>
      </c>
      <c r="X2" s="6">
        <v>16</v>
      </c>
      <c r="Y2" s="6">
        <v>17</v>
      </c>
      <c r="Z2" s="6">
        <v>18</v>
      </c>
      <c r="AA2" s="6">
        <v>19</v>
      </c>
      <c r="AB2" s="6">
        <v>20</v>
      </c>
    </row>
    <row r="3" spans="1:28" x14ac:dyDescent="0.2">
      <c r="A3" s="6">
        <v>1</v>
      </c>
      <c r="B3" s="8"/>
      <c r="C3" s="6" t="s">
        <v>47</v>
      </c>
      <c r="E3" s="10" t="s">
        <v>37</v>
      </c>
      <c r="F3" s="8"/>
      <c r="G3" s="6" t="s">
        <v>41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x14ac:dyDescent="0.2">
      <c r="A4" s="6">
        <v>2</v>
      </c>
      <c r="B4" s="8"/>
      <c r="C4" s="6" t="s">
        <v>47</v>
      </c>
      <c r="E4" s="10" t="s">
        <v>36</v>
      </c>
      <c r="F4" s="8"/>
      <c r="G4" s="6" t="s">
        <v>34</v>
      </c>
      <c r="I4" s="119" t="s">
        <v>45</v>
      </c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</row>
    <row r="5" spans="1:28" x14ac:dyDescent="0.2">
      <c r="A5" s="6">
        <v>3</v>
      </c>
      <c r="B5" s="8"/>
      <c r="C5" s="6" t="s">
        <v>47</v>
      </c>
      <c r="E5" s="10" t="s">
        <v>35</v>
      </c>
      <c r="F5" s="8"/>
      <c r="G5" s="6" t="s">
        <v>34</v>
      </c>
      <c r="I5" s="6">
        <v>1</v>
      </c>
      <c r="J5" s="6">
        <v>2</v>
      </c>
      <c r="K5" s="6">
        <v>3</v>
      </c>
      <c r="L5" s="6">
        <v>4</v>
      </c>
      <c r="M5" s="6">
        <v>5</v>
      </c>
      <c r="N5" s="6">
        <v>6</v>
      </c>
      <c r="O5" s="6">
        <v>7</v>
      </c>
      <c r="P5" s="6">
        <v>8</v>
      </c>
      <c r="Q5" s="6">
        <v>9</v>
      </c>
      <c r="R5" s="6">
        <v>10</v>
      </c>
      <c r="S5" s="6">
        <v>11</v>
      </c>
      <c r="T5" s="6">
        <v>12</v>
      </c>
      <c r="U5" s="6">
        <v>13</v>
      </c>
      <c r="V5" s="6">
        <v>14</v>
      </c>
      <c r="W5" s="6">
        <v>15</v>
      </c>
      <c r="X5" s="6">
        <v>16</v>
      </c>
      <c r="Y5" s="6">
        <v>17</v>
      </c>
      <c r="Z5" s="6">
        <v>18</v>
      </c>
      <c r="AA5" s="6">
        <v>19</v>
      </c>
      <c r="AB5" s="6">
        <v>20</v>
      </c>
    </row>
    <row r="6" spans="1:28" x14ac:dyDescent="0.2">
      <c r="A6" s="6">
        <v>4</v>
      </c>
      <c r="B6" s="8"/>
      <c r="C6" s="6" t="s">
        <v>47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5" customHeight="1" x14ac:dyDescent="0.2">
      <c r="A7" s="6">
        <v>5</v>
      </c>
      <c r="B7" s="8"/>
      <c r="C7" s="6" t="s">
        <v>47</v>
      </c>
      <c r="E7" s="119" t="s">
        <v>25</v>
      </c>
      <c r="F7" s="119"/>
      <c r="G7" s="119"/>
      <c r="H7" s="9"/>
      <c r="L7" s="6"/>
    </row>
    <row r="8" spans="1:28" x14ac:dyDescent="0.2">
      <c r="A8" s="6">
        <v>6</v>
      </c>
      <c r="B8" s="8"/>
      <c r="C8" s="6" t="s">
        <v>47</v>
      </c>
      <c r="E8" s="6" t="s">
        <v>27</v>
      </c>
      <c r="F8" s="7"/>
      <c r="I8" s="119" t="s">
        <v>44</v>
      </c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</row>
    <row r="9" spans="1:28" x14ac:dyDescent="0.2">
      <c r="A9" s="6">
        <v>7</v>
      </c>
      <c r="B9" s="8"/>
      <c r="C9" s="6" t="s">
        <v>47</v>
      </c>
      <c r="E9" s="6" t="s">
        <v>29</v>
      </c>
      <c r="F9" s="8"/>
      <c r="G9" s="6" t="s">
        <v>34</v>
      </c>
      <c r="I9" s="6">
        <v>1</v>
      </c>
      <c r="J9" s="6">
        <v>2</v>
      </c>
      <c r="K9" s="6">
        <v>3</v>
      </c>
      <c r="L9" s="6">
        <v>4</v>
      </c>
      <c r="M9" s="6">
        <v>5</v>
      </c>
      <c r="N9" s="6">
        <v>6</v>
      </c>
      <c r="O9" s="6">
        <v>7</v>
      </c>
      <c r="P9" s="6">
        <v>8</v>
      </c>
      <c r="Q9" s="6">
        <v>9</v>
      </c>
      <c r="R9" s="6">
        <v>10</v>
      </c>
      <c r="S9" s="6">
        <v>11</v>
      </c>
      <c r="T9" s="6">
        <v>12</v>
      </c>
      <c r="U9" s="6">
        <v>13</v>
      </c>
      <c r="V9" s="6">
        <v>14</v>
      </c>
      <c r="W9" s="6">
        <v>15</v>
      </c>
      <c r="X9" s="6">
        <v>16</v>
      </c>
      <c r="Y9" s="6">
        <v>17</v>
      </c>
      <c r="Z9" s="6">
        <v>18</v>
      </c>
      <c r="AA9" s="6">
        <v>19</v>
      </c>
      <c r="AB9" s="6">
        <v>20</v>
      </c>
    </row>
    <row r="10" spans="1:28" x14ac:dyDescent="0.2">
      <c r="A10" s="6">
        <v>8</v>
      </c>
      <c r="B10" s="8"/>
      <c r="C10" s="6" t="s">
        <v>47</v>
      </c>
      <c r="E10" s="6" t="s">
        <v>30</v>
      </c>
      <c r="F10" s="8"/>
      <c r="G10" s="6" t="s">
        <v>34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2">
      <c r="A11" s="6">
        <v>9</v>
      </c>
      <c r="B11" s="8"/>
      <c r="C11" s="6" t="s">
        <v>47</v>
      </c>
      <c r="E11" s="6" t="s">
        <v>31</v>
      </c>
      <c r="F11" s="8"/>
      <c r="L11" s="6"/>
    </row>
    <row r="12" spans="1:28" x14ac:dyDescent="0.2">
      <c r="A12" s="6">
        <v>10</v>
      </c>
      <c r="B12" s="8"/>
      <c r="C12" s="6" t="s">
        <v>47</v>
      </c>
      <c r="F12" s="7"/>
      <c r="L12" s="6"/>
    </row>
    <row r="13" spans="1:28" x14ac:dyDescent="0.2">
      <c r="A13" s="6">
        <v>11</v>
      </c>
      <c r="B13" s="8"/>
      <c r="C13" s="6" t="s">
        <v>47</v>
      </c>
      <c r="E13" s="6" t="s">
        <v>28</v>
      </c>
      <c r="F13" s="7"/>
      <c r="I13" s="119" t="s">
        <v>44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</row>
    <row r="14" spans="1:28" x14ac:dyDescent="0.2">
      <c r="A14" s="6">
        <v>12</v>
      </c>
      <c r="B14" s="8"/>
      <c r="C14" s="6" t="s">
        <v>47</v>
      </c>
      <c r="E14" s="6" t="s">
        <v>29</v>
      </c>
      <c r="F14" s="8"/>
      <c r="G14" s="6" t="s">
        <v>34</v>
      </c>
      <c r="I14" s="6">
        <v>1</v>
      </c>
      <c r="J14" s="6">
        <v>2</v>
      </c>
      <c r="K14" s="6">
        <v>3</v>
      </c>
      <c r="L14" s="6">
        <v>4</v>
      </c>
      <c r="M14" s="6">
        <v>5</v>
      </c>
      <c r="N14" s="6">
        <v>6</v>
      </c>
      <c r="O14" s="6">
        <v>7</v>
      </c>
      <c r="P14" s="6">
        <v>8</v>
      </c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  <c r="X14" s="6">
        <v>16</v>
      </c>
      <c r="Y14" s="6">
        <v>17</v>
      </c>
      <c r="Z14" s="6">
        <v>18</v>
      </c>
      <c r="AA14" s="6">
        <v>19</v>
      </c>
      <c r="AB14" s="6">
        <v>20</v>
      </c>
    </row>
    <row r="15" spans="1:28" x14ac:dyDescent="0.2">
      <c r="A15" s="6">
        <v>13</v>
      </c>
      <c r="B15" s="8"/>
      <c r="C15" s="6" t="s">
        <v>47</v>
      </c>
      <c r="E15" s="6" t="s">
        <v>30</v>
      </c>
      <c r="F15" s="8"/>
      <c r="G15" s="6" t="s">
        <v>34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">
      <c r="A16" s="6">
        <v>14</v>
      </c>
      <c r="B16" s="8"/>
      <c r="C16" s="6" t="s">
        <v>47</v>
      </c>
      <c r="E16" s="6" t="s">
        <v>31</v>
      </c>
      <c r="F16" s="8"/>
    </row>
    <row r="17" spans="1:28" x14ac:dyDescent="0.2">
      <c r="A17" s="6">
        <v>15</v>
      </c>
      <c r="B17" s="8"/>
      <c r="C17" s="6" t="s">
        <v>47</v>
      </c>
    </row>
    <row r="18" spans="1:28" x14ac:dyDescent="0.2">
      <c r="A18" s="6">
        <v>16</v>
      </c>
      <c r="B18" s="8"/>
      <c r="C18" s="6" t="s">
        <v>47</v>
      </c>
      <c r="E18" s="119" t="s">
        <v>26</v>
      </c>
      <c r="F18" s="119"/>
      <c r="G18" s="119"/>
      <c r="H18" s="9"/>
      <c r="I18" s="119" t="s">
        <v>44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</row>
    <row r="19" spans="1:28" x14ac:dyDescent="0.2">
      <c r="A19" s="6">
        <v>17</v>
      </c>
      <c r="B19" s="8"/>
      <c r="C19" s="6" t="s">
        <v>47</v>
      </c>
      <c r="E19" s="6" t="s">
        <v>29</v>
      </c>
      <c r="F19" s="8"/>
      <c r="G19" s="6" t="s">
        <v>34</v>
      </c>
      <c r="I19" s="6">
        <v>1</v>
      </c>
      <c r="J19" s="6">
        <v>2</v>
      </c>
      <c r="K19" s="6">
        <v>3</v>
      </c>
      <c r="L19" s="6">
        <v>4</v>
      </c>
      <c r="M19" s="6">
        <v>5</v>
      </c>
      <c r="N19" s="6">
        <v>6</v>
      </c>
      <c r="O19" s="6">
        <v>7</v>
      </c>
      <c r="P19" s="6">
        <v>8</v>
      </c>
      <c r="Q19" s="6">
        <v>9</v>
      </c>
      <c r="R19" s="6">
        <v>10</v>
      </c>
      <c r="S19" s="6">
        <v>11</v>
      </c>
      <c r="T19" s="6">
        <v>12</v>
      </c>
      <c r="U19" s="6">
        <v>13</v>
      </c>
      <c r="V19" s="6">
        <v>14</v>
      </c>
      <c r="W19" s="6">
        <v>15</v>
      </c>
      <c r="X19" s="6">
        <v>16</v>
      </c>
      <c r="Y19" s="6">
        <v>17</v>
      </c>
      <c r="Z19" s="6">
        <v>18</v>
      </c>
      <c r="AA19" s="6">
        <v>19</v>
      </c>
      <c r="AB19" s="6">
        <v>20</v>
      </c>
    </row>
    <row r="20" spans="1:28" x14ac:dyDescent="0.2">
      <c r="A20" s="6">
        <v>18</v>
      </c>
      <c r="B20" s="8"/>
      <c r="C20" s="6" t="s">
        <v>47</v>
      </c>
      <c r="E20" s="6" t="s">
        <v>30</v>
      </c>
      <c r="F20" s="8"/>
      <c r="G20" s="6" t="s">
        <v>34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">
      <c r="A21" s="6">
        <v>19</v>
      </c>
      <c r="B21" s="8"/>
      <c r="C21" s="6" t="s">
        <v>47</v>
      </c>
      <c r="E21" s="6" t="s">
        <v>37</v>
      </c>
      <c r="F21" s="8"/>
      <c r="G21" s="6" t="s">
        <v>41</v>
      </c>
    </row>
    <row r="22" spans="1:28" x14ac:dyDescent="0.2">
      <c r="A22" s="6">
        <v>20</v>
      </c>
      <c r="B22" s="8"/>
      <c r="C22" s="6" t="s">
        <v>47</v>
      </c>
      <c r="E22" s="6" t="s">
        <v>38</v>
      </c>
      <c r="F22" s="8"/>
      <c r="G22" s="6" t="s">
        <v>34</v>
      </c>
    </row>
    <row r="23" spans="1:28" x14ac:dyDescent="0.2">
      <c r="E23" s="6" t="s">
        <v>39</v>
      </c>
      <c r="F23" s="8"/>
      <c r="G23" s="6" t="s">
        <v>34</v>
      </c>
    </row>
    <row r="24" spans="1:28" x14ac:dyDescent="0.2">
      <c r="E24" s="6" t="s">
        <v>40</v>
      </c>
      <c r="F24" s="8"/>
      <c r="G24" s="6" t="s">
        <v>42</v>
      </c>
    </row>
  </sheetData>
  <mergeCells count="10">
    <mergeCell ref="I8:AB8"/>
    <mergeCell ref="I13:AB13"/>
    <mergeCell ref="I4:AB4"/>
    <mergeCell ref="I18:AB18"/>
    <mergeCell ref="A1:C1"/>
    <mergeCell ref="B2:C2"/>
    <mergeCell ref="E7:G7"/>
    <mergeCell ref="E18:G18"/>
    <mergeCell ref="E1:G1"/>
    <mergeCell ref="I1:A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3"/>
  <sheetViews>
    <sheetView topLeftCell="G1" workbookViewId="0">
      <selection activeCell="U18" sqref="U18"/>
    </sheetView>
  </sheetViews>
  <sheetFormatPr defaultRowHeight="15" x14ac:dyDescent="0.25"/>
  <sheetData>
    <row r="2" spans="1:26" x14ac:dyDescent="0.25">
      <c r="A2" t="s">
        <v>75</v>
      </c>
      <c r="B2">
        <v>1</v>
      </c>
      <c r="E2" s="118" t="s">
        <v>60</v>
      </c>
      <c r="F2" s="118"/>
      <c r="G2" s="6">
        <f>'Tela de entrada'!I22+'Tela de entrada'!I17</f>
        <v>3.5</v>
      </c>
      <c r="H2" s="6">
        <f>'Tela de entrada'!J22+'Tela de entrada'!J17</f>
        <v>3.5</v>
      </c>
      <c r="I2" s="6">
        <f>'Tela de entrada'!K22+'Tela de entrada'!K17</f>
        <v>10.5</v>
      </c>
      <c r="J2" s="6">
        <f>'Tela de entrada'!L22+'Tela de entrada'!L17</f>
        <v>10.5</v>
      </c>
      <c r="K2" s="6">
        <f>'Tela de entrada'!M22+'Tela de entrada'!M17</f>
        <v>24.5</v>
      </c>
      <c r="L2" s="6">
        <f>'Tela de entrada'!N22+'Tela de entrada'!N17</f>
        <v>24.5</v>
      </c>
      <c r="M2" s="6">
        <f>'Tela de entrada'!O22+'Tela de entrada'!O17</f>
        <v>28</v>
      </c>
      <c r="N2" s="6">
        <f>'Tela de entrada'!P22+'Tela de entrada'!P17</f>
        <v>35</v>
      </c>
      <c r="O2" s="6">
        <f>'Tela de entrada'!Q22+'Tela de entrada'!Q17</f>
        <v>35</v>
      </c>
      <c r="P2" s="6">
        <f>'Tela de entrada'!R22+'Tela de entrada'!R17</f>
        <v>42</v>
      </c>
      <c r="Q2" s="6">
        <f>'Tela de entrada'!S22+'Tela de entrada'!S17</f>
        <v>45.5</v>
      </c>
      <c r="R2" s="6">
        <f>'Tela de entrada'!T22+'Tela de entrada'!T17</f>
        <v>42</v>
      </c>
      <c r="S2" s="6">
        <f>'Tela de entrada'!U22+'Tela de entrada'!U17</f>
        <v>38.5</v>
      </c>
      <c r="T2" s="6">
        <f>'Tela de entrada'!V22+'Tela de entrada'!V17</f>
        <v>42</v>
      </c>
      <c r="U2" s="6">
        <f>'Tela de entrada'!W22+'Tela de entrada'!W17</f>
        <v>42</v>
      </c>
      <c r="V2" s="6">
        <f>'Tela de entrada'!X22+'Tela de entrada'!X17</f>
        <v>35</v>
      </c>
      <c r="W2" s="6">
        <f>'Tela de entrada'!Y22+'Tela de entrada'!Y17</f>
        <v>31.5</v>
      </c>
      <c r="X2" s="6">
        <f>'Tela de entrada'!Z22+'Tela de entrada'!Z17</f>
        <v>28</v>
      </c>
      <c r="Y2" s="6">
        <f>'Tela de entrada'!AA22+'Tela de entrada'!AA17</f>
        <v>21</v>
      </c>
      <c r="Z2" s="6">
        <f>'Tela de entrada'!AB22+'Tela de entrada'!AB17</f>
        <v>17.5</v>
      </c>
    </row>
    <row r="3" spans="1:26" x14ac:dyDescent="0.25">
      <c r="A3" t="s">
        <v>50</v>
      </c>
      <c r="B3">
        <v>2</v>
      </c>
      <c r="E3" s="118" t="s">
        <v>61</v>
      </c>
      <c r="F3" s="118"/>
      <c r="G3" s="6">
        <f>G2+'Tela de entrada'!I30</f>
        <v>5</v>
      </c>
      <c r="H3" s="6">
        <f>H2+'Tela de entrada'!J30</f>
        <v>5</v>
      </c>
      <c r="I3" s="6">
        <f>I2+'Tela de entrada'!K30</f>
        <v>15</v>
      </c>
      <c r="J3" s="6">
        <f>J2+'Tela de entrada'!L30</f>
        <v>15</v>
      </c>
      <c r="K3" s="6">
        <f>K2+'Tela de entrada'!M30</f>
        <v>34.5</v>
      </c>
      <c r="L3" s="6">
        <f>L2+'Tela de entrada'!N30</f>
        <v>34.5</v>
      </c>
      <c r="M3" s="6">
        <f>M2+'Tela de entrada'!O30</f>
        <v>38</v>
      </c>
      <c r="N3" s="6">
        <f>N2+'Tela de entrada'!P30</f>
        <v>45</v>
      </c>
      <c r="O3" s="6">
        <f>O2+'Tela de entrada'!Q30</f>
        <v>45</v>
      </c>
      <c r="P3" s="6">
        <f>P2+'Tela de entrada'!R30</f>
        <v>52</v>
      </c>
      <c r="Q3" s="6">
        <f>Q2+'Tela de entrada'!S30</f>
        <v>55.5</v>
      </c>
      <c r="R3" s="6">
        <f>R2+'Tela de entrada'!T30</f>
        <v>52</v>
      </c>
      <c r="S3" s="6">
        <f>S2+'Tela de entrada'!U30</f>
        <v>48.5</v>
      </c>
      <c r="T3" s="6">
        <f>T2+'Tela de entrada'!V30</f>
        <v>52</v>
      </c>
      <c r="U3" s="6">
        <f>U2+'Tela de entrada'!W30</f>
        <v>52</v>
      </c>
      <c r="V3" s="6">
        <f>V2+'Tela de entrada'!X30</f>
        <v>45</v>
      </c>
      <c r="W3" s="6">
        <f>W2+'Tela de entrada'!Y30</f>
        <v>41.5</v>
      </c>
      <c r="X3" s="6">
        <f>X2+'Tela de entrada'!Z30</f>
        <v>38</v>
      </c>
      <c r="Y3" s="6">
        <f>Y2+'Tela de entrada'!AA30</f>
        <v>30</v>
      </c>
      <c r="Z3" s="6">
        <f>Z2+'Tela de entrada'!AB30</f>
        <v>25</v>
      </c>
    </row>
    <row r="4" spans="1:26" x14ac:dyDescent="0.25">
      <c r="E4" s="118" t="s">
        <v>62</v>
      </c>
      <c r="F4" s="118"/>
      <c r="G4" s="6">
        <f>G3+'Tela de entrada'!I35</f>
        <v>5</v>
      </c>
      <c r="H4" s="6">
        <f>H3+'Tela de entrada'!J35</f>
        <v>5</v>
      </c>
      <c r="I4" s="6">
        <f>I3+'Tela de entrada'!K35</f>
        <v>15</v>
      </c>
      <c r="J4" s="6">
        <f>J3+'Tela de entrada'!L35</f>
        <v>15</v>
      </c>
      <c r="K4" s="6">
        <f>K3+'Tela de entrada'!M35</f>
        <v>35</v>
      </c>
      <c r="L4" s="6">
        <f>L3+'Tela de entrada'!N35</f>
        <v>35</v>
      </c>
      <c r="M4" s="6">
        <f>M3+'Tela de entrada'!O35</f>
        <v>40</v>
      </c>
      <c r="N4" s="6">
        <f>N3+'Tela de entrada'!P35</f>
        <v>50</v>
      </c>
      <c r="O4" s="6">
        <f>O3+'Tela de entrada'!Q35</f>
        <v>50</v>
      </c>
      <c r="P4" s="6">
        <f>P3+'Tela de entrada'!R35</f>
        <v>60</v>
      </c>
      <c r="Q4" s="6">
        <f>Q3+'Tela de entrada'!S35</f>
        <v>65</v>
      </c>
      <c r="R4" s="6">
        <f>R3+'Tela de entrada'!T35</f>
        <v>60</v>
      </c>
      <c r="S4" s="6">
        <f>S3+'Tela de entrada'!U35</f>
        <v>55</v>
      </c>
      <c r="T4" s="6">
        <f>T3+'Tela de entrada'!V35</f>
        <v>60</v>
      </c>
      <c r="U4" s="6">
        <f>U3+'Tela de entrada'!W35</f>
        <v>60</v>
      </c>
      <c r="V4" s="6">
        <f>V3+'Tela de entrada'!X35</f>
        <v>50</v>
      </c>
      <c r="W4" s="6">
        <f>W3+'Tela de entrada'!Y35</f>
        <v>45</v>
      </c>
      <c r="X4" s="6">
        <f>X3+'Tela de entrada'!Z35</f>
        <v>40</v>
      </c>
      <c r="Y4" s="6">
        <f>Y3+'Tela de entrada'!AA35</f>
        <v>30</v>
      </c>
      <c r="Z4" s="6">
        <f>Z3+'Tela de entrada'!AB35</f>
        <v>25</v>
      </c>
    </row>
    <row r="5" spans="1:26" x14ac:dyDescent="0.25">
      <c r="A5" t="s">
        <v>76</v>
      </c>
      <c r="E5" s="118" t="s">
        <v>63</v>
      </c>
      <c r="F5" s="118"/>
      <c r="G5" s="6">
        <f>'Tela de entrada'!$G$14</f>
        <v>2</v>
      </c>
      <c r="H5" s="6">
        <f>'Tela de entrada'!$G$14</f>
        <v>2</v>
      </c>
      <c r="I5" s="6">
        <f>'Tela de entrada'!$G$14</f>
        <v>2</v>
      </c>
      <c r="J5" s="6">
        <f>'Tela de entrada'!$G$14</f>
        <v>2</v>
      </c>
      <c r="K5" s="6">
        <f>'Tela de entrada'!$G$14</f>
        <v>2</v>
      </c>
      <c r="L5" s="6">
        <f>'Tela de entrada'!$G$14</f>
        <v>2</v>
      </c>
      <c r="M5" s="6">
        <f>'Tela de entrada'!$G$14</f>
        <v>2</v>
      </c>
      <c r="N5" s="6">
        <f>'Tela de entrada'!$G$14</f>
        <v>2</v>
      </c>
      <c r="O5" s="6">
        <f>'Tela de entrada'!$G$14</f>
        <v>2</v>
      </c>
      <c r="P5" s="6">
        <f>'Tela de entrada'!$G$14</f>
        <v>2</v>
      </c>
      <c r="Q5" s="6">
        <f>'Tela de entrada'!$G$14</f>
        <v>2</v>
      </c>
      <c r="R5" s="6">
        <f>'Tela de entrada'!$G$14</f>
        <v>2</v>
      </c>
      <c r="S5" s="6">
        <f>'Tela de entrada'!$G$14</f>
        <v>2</v>
      </c>
      <c r="T5" s="6">
        <f>'Tela de entrada'!$G$14</f>
        <v>2</v>
      </c>
      <c r="U5" s="6">
        <f>'Tela de entrada'!$G$14</f>
        <v>2</v>
      </c>
      <c r="V5" s="6">
        <f>'Tela de entrada'!$G$14</f>
        <v>2</v>
      </c>
      <c r="W5" s="6">
        <f>'Tela de entrada'!$G$14</f>
        <v>2</v>
      </c>
      <c r="X5" s="6">
        <f>'Tela de entrada'!$G$14</f>
        <v>2</v>
      </c>
      <c r="Y5" s="6">
        <f>'Tela de entrada'!$G$14</f>
        <v>2</v>
      </c>
      <c r="Z5" s="6">
        <f>'Tela de entrada'!$G$14</f>
        <v>2</v>
      </c>
    </row>
    <row r="6" spans="1:26" x14ac:dyDescent="0.25">
      <c r="A6" t="s">
        <v>77</v>
      </c>
      <c r="E6" s="118" t="s">
        <v>64</v>
      </c>
      <c r="F6" s="118"/>
      <c r="G6" s="6">
        <f>'Tela de entrada'!$G$15</f>
        <v>50</v>
      </c>
      <c r="H6" s="6">
        <f>'Tela de entrada'!$G$15</f>
        <v>50</v>
      </c>
      <c r="I6" s="6">
        <f>'Tela de entrada'!$G$15</f>
        <v>50</v>
      </c>
      <c r="J6" s="6">
        <f>'Tela de entrada'!$G$15</f>
        <v>50</v>
      </c>
      <c r="K6" s="6">
        <f>'Tela de entrada'!$G$15</f>
        <v>50</v>
      </c>
      <c r="L6" s="6">
        <f>'Tela de entrada'!$G$15</f>
        <v>50</v>
      </c>
      <c r="M6" s="6">
        <f>'Tela de entrada'!$G$15</f>
        <v>50</v>
      </c>
      <c r="N6" s="6">
        <f>'Tela de entrada'!$G$15</f>
        <v>50</v>
      </c>
      <c r="O6" s="6">
        <f>'Tela de entrada'!$G$15</f>
        <v>50</v>
      </c>
      <c r="P6" s="6">
        <f>'Tela de entrada'!$G$15</f>
        <v>50</v>
      </c>
      <c r="Q6" s="6">
        <f>'Tela de entrada'!$G$15</f>
        <v>50</v>
      </c>
      <c r="R6" s="6">
        <f>'Tela de entrada'!$G$15</f>
        <v>50</v>
      </c>
      <c r="S6" s="6">
        <f>'Tela de entrada'!$G$15</f>
        <v>50</v>
      </c>
      <c r="T6" s="6">
        <f>'Tela de entrada'!$G$15</f>
        <v>50</v>
      </c>
      <c r="U6" s="6">
        <f>'Tela de entrada'!$G$15</f>
        <v>50</v>
      </c>
      <c r="V6" s="6">
        <f>'Tela de entrada'!$G$15</f>
        <v>50</v>
      </c>
      <c r="W6" s="6">
        <f>'Tela de entrada'!$G$15</f>
        <v>50</v>
      </c>
      <c r="X6" s="6">
        <f>'Tela de entrada'!$G$15</f>
        <v>50</v>
      </c>
      <c r="Y6" s="6">
        <f>'Tela de entrada'!$G$15</f>
        <v>50</v>
      </c>
      <c r="Z6" s="6">
        <f>'Tela de entrada'!$G$15</f>
        <v>50</v>
      </c>
    </row>
    <row r="7" spans="1:26" x14ac:dyDescent="0.25">
      <c r="E7" s="118" t="s">
        <v>68</v>
      </c>
      <c r="F7" s="118"/>
      <c r="G7" s="6">
        <f>'Tela de entrada'!$G$23+'Tela de entrada'!I17</f>
        <v>2.5</v>
      </c>
      <c r="H7" s="6">
        <f>'Tela de entrada'!$G$23+'Tela de entrada'!J17</f>
        <v>2.5</v>
      </c>
      <c r="I7" s="6">
        <f>'Tela de entrada'!$G$23+'Tela de entrada'!K17</f>
        <v>7.5</v>
      </c>
      <c r="J7" s="6">
        <f>'Tela de entrada'!$G$23+'Tela de entrada'!L17</f>
        <v>7.5</v>
      </c>
      <c r="K7" s="6">
        <f>'Tela de entrada'!$G$23+'Tela de entrada'!M17</f>
        <v>17.5</v>
      </c>
      <c r="L7" s="6">
        <f>'Tela de entrada'!$G$23+'Tela de entrada'!N17</f>
        <v>17.5</v>
      </c>
      <c r="M7" s="6">
        <f>'Tela de entrada'!$G$23+'Tela de entrada'!O17</f>
        <v>20</v>
      </c>
      <c r="N7" s="6">
        <f>'Tela de entrada'!$G$23+'Tela de entrada'!P17</f>
        <v>25</v>
      </c>
      <c r="O7" s="6">
        <f>'Tela de entrada'!$G$23+'Tela de entrada'!Q17</f>
        <v>25</v>
      </c>
      <c r="P7" s="6">
        <f>'Tela de entrada'!$G$23+'Tela de entrada'!R17</f>
        <v>30</v>
      </c>
      <c r="Q7" s="6">
        <f>'Tela de entrada'!$G$23+'Tela de entrada'!S17</f>
        <v>32.5</v>
      </c>
      <c r="R7" s="6">
        <f>'Tela de entrada'!$G$23+'Tela de entrada'!T17</f>
        <v>30</v>
      </c>
      <c r="S7" s="6">
        <f>'Tela de entrada'!$G$23+'Tela de entrada'!U17</f>
        <v>27.500000000000004</v>
      </c>
      <c r="T7" s="6">
        <f>'Tela de entrada'!$G$23+'Tela de entrada'!V17</f>
        <v>30</v>
      </c>
      <c r="U7" s="6">
        <f>'Tela de entrada'!$G$23+'Tela de entrada'!W17</f>
        <v>30</v>
      </c>
      <c r="V7" s="6">
        <f>'Tela de entrada'!$G$23+'Tela de entrada'!X17</f>
        <v>25</v>
      </c>
      <c r="W7" s="6">
        <f>'Tela de entrada'!$G$23+'Tela de entrada'!Y17</f>
        <v>22.5</v>
      </c>
      <c r="X7" s="6">
        <f>'Tela de entrada'!$G$23+'Tela de entrada'!Z17</f>
        <v>20</v>
      </c>
      <c r="Y7" s="6">
        <f>'Tela de entrada'!$G$23+'Tela de entrada'!AA17</f>
        <v>15</v>
      </c>
      <c r="Z7" s="6">
        <f>'Tela de entrada'!$G$23+'Tela de entrada'!AB17</f>
        <v>12.5</v>
      </c>
    </row>
    <row r="8" spans="1:26" x14ac:dyDescent="0.25">
      <c r="E8" s="118" t="s">
        <v>69</v>
      </c>
      <c r="F8" s="118"/>
      <c r="G8" s="6">
        <f>'Tela de entrada'!$G$24+'Tela de entrada'!I17</f>
        <v>52.5</v>
      </c>
      <c r="H8" s="6">
        <f>'Tela de entrada'!$G$24+'Tela de entrada'!J17</f>
        <v>52.5</v>
      </c>
      <c r="I8" s="6">
        <f>'Tela de entrada'!$G$24+'Tela de entrada'!K17</f>
        <v>57.5</v>
      </c>
      <c r="J8" s="6">
        <f>'Tela de entrada'!$G$24+'Tela de entrada'!L17</f>
        <v>57.5</v>
      </c>
      <c r="K8" s="6">
        <f>'Tela de entrada'!$G$24+'Tela de entrada'!M17</f>
        <v>67.5</v>
      </c>
      <c r="L8" s="6">
        <f>'Tela de entrada'!$G$24+'Tela de entrada'!N17</f>
        <v>67.5</v>
      </c>
      <c r="M8" s="6">
        <f>'Tela de entrada'!$G$24+'Tela de entrada'!O17</f>
        <v>70</v>
      </c>
      <c r="N8" s="6">
        <f>'Tela de entrada'!$G$24+'Tela de entrada'!P17</f>
        <v>75</v>
      </c>
      <c r="O8" s="6">
        <f>'Tela de entrada'!$G$24+'Tela de entrada'!Q17</f>
        <v>75</v>
      </c>
      <c r="P8" s="6">
        <f>'Tela de entrada'!$G$24+'Tela de entrada'!R17</f>
        <v>80</v>
      </c>
      <c r="Q8" s="6">
        <f>'Tela de entrada'!$G$24+'Tela de entrada'!S17</f>
        <v>82.5</v>
      </c>
      <c r="R8" s="6">
        <f>'Tela de entrada'!$G$24+'Tela de entrada'!T17</f>
        <v>80</v>
      </c>
      <c r="S8" s="6">
        <f>'Tela de entrada'!$G$24+'Tela de entrada'!U17</f>
        <v>77.5</v>
      </c>
      <c r="T8" s="6">
        <f>'Tela de entrada'!$G$24+'Tela de entrada'!V17</f>
        <v>80</v>
      </c>
      <c r="U8" s="6">
        <f>'Tela de entrada'!$G$24+'Tela de entrada'!W17</f>
        <v>80</v>
      </c>
      <c r="V8" s="6">
        <f>'Tela de entrada'!$G$24+'Tela de entrada'!X17</f>
        <v>75</v>
      </c>
      <c r="W8" s="6">
        <f>'Tela de entrada'!$G$24+'Tela de entrada'!Y17</f>
        <v>72.5</v>
      </c>
      <c r="X8" s="6">
        <f>'Tela de entrada'!$G$24+'Tela de entrada'!Z17</f>
        <v>70</v>
      </c>
      <c r="Y8" s="6">
        <f>'Tela de entrada'!$G$24+'Tela de entrada'!AA17</f>
        <v>65</v>
      </c>
      <c r="Z8" s="6">
        <f>'Tela de entrada'!$G$24+'Tela de entrada'!AB17</f>
        <v>62.5</v>
      </c>
    </row>
    <row r="9" spans="1:26" x14ac:dyDescent="0.25">
      <c r="E9" s="6" t="s">
        <v>70</v>
      </c>
      <c r="F9" s="6"/>
      <c r="G9" s="6">
        <f>'Tela de entrada'!$G$23</f>
        <v>0</v>
      </c>
      <c r="H9" s="6">
        <f>'Tela de entrada'!$G$23</f>
        <v>0</v>
      </c>
      <c r="I9" s="6">
        <f>'Tela de entrada'!$G$23</f>
        <v>0</v>
      </c>
      <c r="J9" s="6">
        <f>'Tela de entrada'!$G$23</f>
        <v>0</v>
      </c>
      <c r="K9" s="6">
        <f>'Tela de entrada'!$G$23</f>
        <v>0</v>
      </c>
      <c r="L9" s="6">
        <f>'Tela de entrada'!$G$23</f>
        <v>0</v>
      </c>
      <c r="M9" s="6">
        <f>'Tela de entrada'!$G$23</f>
        <v>0</v>
      </c>
      <c r="N9" s="6">
        <f>'Tela de entrada'!$G$23</f>
        <v>0</v>
      </c>
      <c r="O9" s="6">
        <f>'Tela de entrada'!$G$23</f>
        <v>0</v>
      </c>
      <c r="P9" s="6">
        <f>'Tela de entrada'!$G$23</f>
        <v>0</v>
      </c>
      <c r="Q9" s="6">
        <f>'Tela de entrada'!$G$23</f>
        <v>0</v>
      </c>
      <c r="R9" s="6">
        <f>'Tela de entrada'!$G$23</f>
        <v>0</v>
      </c>
      <c r="S9" s="6">
        <f>'Tela de entrada'!$G$23</f>
        <v>0</v>
      </c>
      <c r="T9" s="6">
        <f>'Tela de entrada'!$G$23</f>
        <v>0</v>
      </c>
      <c r="U9" s="6">
        <f>'Tela de entrada'!$G$23</f>
        <v>0</v>
      </c>
      <c r="V9" s="6">
        <f>'Tela de entrada'!$G$23</f>
        <v>0</v>
      </c>
      <c r="W9" s="6">
        <f>'Tela de entrada'!$G$23</f>
        <v>0</v>
      </c>
      <c r="X9" s="6">
        <f>'Tela de entrada'!$G$23</f>
        <v>0</v>
      </c>
      <c r="Y9" s="6">
        <f>'Tela de entrada'!$G$23</f>
        <v>0</v>
      </c>
      <c r="Z9" s="6">
        <f>'Tela de entrada'!$G$23</f>
        <v>0</v>
      </c>
    </row>
    <row r="10" spans="1:26" x14ac:dyDescent="0.25">
      <c r="E10" s="6" t="s">
        <v>71</v>
      </c>
      <c r="F10" s="6"/>
      <c r="G10" s="6">
        <f>'Tela de entrada'!$G$24</f>
        <v>50</v>
      </c>
      <c r="H10" s="6">
        <f>'Tela de entrada'!$G$24</f>
        <v>50</v>
      </c>
      <c r="I10" s="6">
        <f>'Tela de entrada'!$G$24</f>
        <v>50</v>
      </c>
      <c r="J10" s="6">
        <f>'Tela de entrada'!$G$24</f>
        <v>50</v>
      </c>
      <c r="K10" s="6">
        <f>'Tela de entrada'!$G$24</f>
        <v>50</v>
      </c>
      <c r="L10" s="6">
        <f>'Tela de entrada'!$G$24</f>
        <v>50</v>
      </c>
      <c r="M10" s="6">
        <f>'Tela de entrada'!$G$24</f>
        <v>50</v>
      </c>
      <c r="N10" s="6">
        <f>'Tela de entrada'!$G$24</f>
        <v>50</v>
      </c>
      <c r="O10" s="6">
        <f>'Tela de entrada'!$G$24</f>
        <v>50</v>
      </c>
      <c r="P10" s="6">
        <f>'Tela de entrada'!$G$24</f>
        <v>50</v>
      </c>
      <c r="Q10" s="6">
        <f>'Tela de entrada'!$G$24</f>
        <v>50</v>
      </c>
      <c r="R10" s="6">
        <f>'Tela de entrada'!$G$24</f>
        <v>50</v>
      </c>
      <c r="S10" s="6">
        <f>'Tela de entrada'!$G$24</f>
        <v>50</v>
      </c>
      <c r="T10" s="6">
        <f>'Tela de entrada'!$G$24</f>
        <v>50</v>
      </c>
      <c r="U10" s="6">
        <f>'Tela de entrada'!$G$24</f>
        <v>50</v>
      </c>
      <c r="V10" s="6">
        <f>'Tela de entrada'!$G$24</f>
        <v>50</v>
      </c>
      <c r="W10" s="6">
        <f>'Tela de entrada'!$G$24</f>
        <v>50</v>
      </c>
      <c r="X10" s="6">
        <f>'Tela de entrada'!$G$24</f>
        <v>50</v>
      </c>
      <c r="Y10" s="6">
        <f>'Tela de entrada'!$G$24</f>
        <v>50</v>
      </c>
      <c r="Z10" s="6">
        <f>'Tela de entrada'!$G$24</f>
        <v>50</v>
      </c>
    </row>
    <row r="11" spans="1:26" x14ac:dyDescent="0.25">
      <c r="E11" s="6" t="s">
        <v>72</v>
      </c>
      <c r="F11" s="6"/>
      <c r="G11" s="6">
        <f>MAX(INDEX('Tela de entrada'!$C$13:$C$32,MATCH('Tela de entrada'!I34,'Tela de entrada'!$B$13:$B$32,0),1),0)</f>
        <v>5</v>
      </c>
      <c r="H11" s="6">
        <f>MAX(INDEX('Tela de entrada'!$C$13:$C$32,MATCH('Tela de entrada'!J34,'Tela de entrada'!$B$13:$B$32,0),1),0)</f>
        <v>5</v>
      </c>
      <c r="I11" s="6">
        <f>MAX(INDEX('Tela de entrada'!$C$13:$C$32,MATCH('Tela de entrada'!K34,'Tela de entrada'!$B$13:$B$32,0),1),0)</f>
        <v>15</v>
      </c>
      <c r="J11" s="6">
        <f>MAX(INDEX('Tela de entrada'!$C$13:$C$32,MATCH('Tela de entrada'!L34,'Tela de entrada'!$B$13:$B$32,0),1),0)</f>
        <v>15</v>
      </c>
      <c r="K11" s="6">
        <f>MAX(INDEX('Tela de entrada'!$C$13:$C$32,MATCH('Tela de entrada'!M34,'Tela de entrada'!$B$13:$B$32,0),1),0)</f>
        <v>35</v>
      </c>
      <c r="L11" s="6">
        <f>MAX(INDEX('Tela de entrada'!$C$13:$C$32,MATCH('Tela de entrada'!N34,'Tela de entrada'!$B$13:$B$32,0),1),0)</f>
        <v>35</v>
      </c>
      <c r="M11" s="6">
        <f>MAX(INDEX('Tela de entrada'!$C$13:$C$32,MATCH('Tela de entrada'!O34,'Tela de entrada'!$B$13:$B$32,0),1),0)</f>
        <v>40</v>
      </c>
      <c r="N11" s="6">
        <f>MAX(INDEX('Tela de entrada'!$C$13:$C$32,MATCH('Tela de entrada'!P34,'Tela de entrada'!$B$13:$B$32,0),1),0)</f>
        <v>50</v>
      </c>
      <c r="O11" s="6">
        <f>MAX(INDEX('Tela de entrada'!$C$13:$C$32,MATCH('Tela de entrada'!Q34,'Tela de entrada'!$B$13:$B$32,0),1),0)</f>
        <v>50</v>
      </c>
      <c r="P11" s="6">
        <f>MAX(INDEX('Tela de entrada'!$C$13:$C$32,MATCH('Tela de entrada'!R34,'Tela de entrada'!$B$13:$B$32,0),1),0)</f>
        <v>60</v>
      </c>
      <c r="Q11" s="6">
        <f>MAX(INDEX('Tela de entrada'!$C$13:$C$32,MATCH('Tela de entrada'!S34,'Tela de entrada'!$B$13:$B$32,0),1),0)</f>
        <v>65</v>
      </c>
      <c r="R11" s="6">
        <f>MAX(INDEX('Tela de entrada'!$C$13:$C$32,MATCH('Tela de entrada'!T34,'Tela de entrada'!$B$13:$B$32,0),1),0)</f>
        <v>60</v>
      </c>
      <c r="S11" s="6">
        <f>MAX(INDEX('Tela de entrada'!$C$13:$C$32,MATCH('Tela de entrada'!U34,'Tela de entrada'!$B$13:$B$32,0),1),0)</f>
        <v>55</v>
      </c>
      <c r="T11" s="6">
        <f>MAX(INDEX('Tela de entrada'!$C$13:$C$32,MATCH('Tela de entrada'!V34,'Tela de entrada'!$B$13:$B$32,0),1),0)</f>
        <v>60</v>
      </c>
      <c r="U11" s="6">
        <f>MAX(INDEX('Tela de entrada'!$C$13:$C$32,MATCH('Tela de entrada'!W34,'Tela de entrada'!$B$13:$B$32,0),1),0)</f>
        <v>60</v>
      </c>
      <c r="V11" s="6">
        <f>MAX(INDEX('Tela de entrada'!$C$13:$C$32,MATCH('Tela de entrada'!X34,'Tela de entrada'!$B$13:$B$32,0),1),0)</f>
        <v>50</v>
      </c>
      <c r="W11" s="6">
        <f>MAX(INDEX('Tela de entrada'!$C$13:$C$32,MATCH('Tela de entrada'!Y34,'Tela de entrada'!$B$13:$B$32,0),1),0)</f>
        <v>45</v>
      </c>
      <c r="X11" s="6">
        <f>MAX(INDEX('Tela de entrada'!$C$13:$C$32,MATCH('Tela de entrada'!Z34,'Tela de entrada'!$B$13:$B$32,0),1),0)</f>
        <v>40</v>
      </c>
      <c r="Y11" s="6">
        <f>MAX(INDEX('Tela de entrada'!$C$13:$C$32,MATCH('Tela de entrada'!AA34,'Tela de entrada'!$B$13:$B$32,0),1),0)</f>
        <v>30</v>
      </c>
      <c r="Z11" s="6">
        <f>MAX(INDEX('Tela de entrada'!$C$13:$C$32,MATCH('Tela de entrada'!AB34,'Tela de entrada'!$B$13:$B$32,0),1),0)</f>
        <v>25</v>
      </c>
    </row>
    <row r="12" spans="1:26" x14ac:dyDescent="0.25">
      <c r="E12" s="6" t="s">
        <v>73</v>
      </c>
      <c r="F12" s="6"/>
      <c r="G12" s="6">
        <f>MAX(INDEX('Tela de entrada'!$C$13:$C$32,MATCH('Tela de entrada'!I34,'Tela de entrada'!$B$13:$B$32,0),1)-'Tela de entrada'!I17-'Tela de entrada'!I22,0)</f>
        <v>1.5</v>
      </c>
      <c r="H12" s="6">
        <f>MAX(INDEX('Tela de entrada'!$C$13:$C$32,MATCH('Tela de entrada'!J34,'Tela de entrada'!$B$13:$B$32,0),1)-'Tela de entrada'!J17-'Tela de entrada'!J22,0)</f>
        <v>1.5</v>
      </c>
      <c r="I12" s="6">
        <f>MAX(INDEX('Tela de entrada'!$C$13:$C$32,MATCH('Tela de entrada'!K34,'Tela de entrada'!$B$13:$B$32,0),1)-'Tela de entrada'!K17-'Tela de entrada'!K22,0)</f>
        <v>4.5</v>
      </c>
      <c r="J12" s="6">
        <f>MAX(INDEX('Tela de entrada'!$C$13:$C$32,MATCH('Tela de entrada'!L34,'Tela de entrada'!$B$13:$B$32,0),1)-'Tela de entrada'!L17-'Tela de entrada'!L22,0)</f>
        <v>4.5</v>
      </c>
      <c r="K12" s="6">
        <f>MAX(INDEX('Tela de entrada'!$C$13:$C$32,MATCH('Tela de entrada'!M34,'Tela de entrada'!$B$13:$B$32,0),1)-'Tela de entrada'!M17-'Tela de entrada'!M22,0)</f>
        <v>10.5</v>
      </c>
      <c r="L12" s="6">
        <f>MAX(INDEX('Tela de entrada'!$C$13:$C$32,MATCH('Tela de entrada'!N34,'Tela de entrada'!$B$13:$B$32,0),1)-'Tela de entrada'!N17-'Tela de entrada'!N22,0)</f>
        <v>10.5</v>
      </c>
      <c r="M12" s="6">
        <f>MAX(INDEX('Tela de entrada'!$C$13:$C$32,MATCH('Tela de entrada'!O34,'Tela de entrada'!$B$13:$B$32,0),1)-'Tela de entrada'!O17-'Tela de entrada'!O22,0)</f>
        <v>12</v>
      </c>
      <c r="N12" s="6">
        <f>MAX(INDEX('Tela de entrada'!$C$13:$C$32,MATCH('Tela de entrada'!P34,'Tela de entrada'!$B$13:$B$32,0),1)-'Tela de entrada'!P17-'Tela de entrada'!P22,0)</f>
        <v>15</v>
      </c>
      <c r="O12" s="6">
        <f>MAX(INDEX('Tela de entrada'!$C$13:$C$32,MATCH('Tela de entrada'!Q34,'Tela de entrada'!$B$13:$B$32,0),1)-'Tela de entrada'!Q17-'Tela de entrada'!Q22,0)</f>
        <v>15</v>
      </c>
      <c r="P12" s="6">
        <f>MAX(INDEX('Tela de entrada'!$C$13:$C$32,MATCH('Tela de entrada'!R34,'Tela de entrada'!$B$13:$B$32,0),1)-'Tela de entrada'!R17-'Tela de entrada'!R22,0)</f>
        <v>18</v>
      </c>
      <c r="Q12" s="6">
        <f>MAX(INDEX('Tela de entrada'!$C$13:$C$32,MATCH('Tela de entrada'!S34,'Tela de entrada'!$B$13:$B$32,0),1)-'Tela de entrada'!S17-'Tela de entrada'!S22,0)</f>
        <v>19.5</v>
      </c>
      <c r="R12" s="6">
        <f>MAX(INDEX('Tela de entrada'!$C$13:$C$32,MATCH('Tela de entrada'!T34,'Tela de entrada'!$B$13:$B$32,0),1)-'Tela de entrada'!T17-'Tela de entrada'!T22,0)</f>
        <v>18</v>
      </c>
      <c r="S12" s="6">
        <f>MAX(INDEX('Tela de entrada'!$C$13:$C$32,MATCH('Tela de entrada'!U34,'Tela de entrada'!$B$13:$B$32,0),1)-'Tela de entrada'!U17-'Tela de entrada'!U22,0)</f>
        <v>16.499999999999996</v>
      </c>
      <c r="T12" s="6">
        <f>MAX(INDEX('Tela de entrada'!$C$13:$C$32,MATCH('Tela de entrada'!V34,'Tela de entrada'!$B$13:$B$32,0),1)-'Tela de entrada'!V17-'Tela de entrada'!V22,0)</f>
        <v>18</v>
      </c>
      <c r="U12" s="6">
        <f>MAX(INDEX('Tela de entrada'!$C$13:$C$32,MATCH('Tela de entrada'!W34,'Tela de entrada'!$B$13:$B$32,0),1)-'Tela de entrada'!W17-'Tela de entrada'!W22,0)</f>
        <v>18</v>
      </c>
      <c r="V12" s="6">
        <f>MAX(INDEX('Tela de entrada'!$C$13:$C$32,MATCH('Tela de entrada'!X34,'Tela de entrada'!$B$13:$B$32,0),1)-'Tela de entrada'!X17-'Tela de entrada'!X22,0)</f>
        <v>15</v>
      </c>
      <c r="W12" s="6">
        <f>MAX(INDEX('Tela de entrada'!$C$13:$C$32,MATCH('Tela de entrada'!Y34,'Tela de entrada'!$B$13:$B$32,0),1)-'Tela de entrada'!Y17-'Tela de entrada'!Y22,0)</f>
        <v>13.5</v>
      </c>
      <c r="X12" s="6">
        <f>MAX(INDEX('Tela de entrada'!$C$13:$C$32,MATCH('Tela de entrada'!Z34,'Tela de entrada'!$B$13:$B$32,0),1)-'Tela de entrada'!Z17-'Tela de entrada'!Z22,0)</f>
        <v>12</v>
      </c>
      <c r="Y12" s="6">
        <f>MAX(INDEX('Tela de entrada'!$C$13:$C$32,MATCH('Tela de entrada'!AA34,'Tela de entrada'!$B$13:$B$32,0),1)-'Tela de entrada'!AA17-'Tela de entrada'!AA22,0)</f>
        <v>9</v>
      </c>
      <c r="Z12" s="6">
        <f>MAX(INDEX('Tela de entrada'!$C$13:$C$32,MATCH('Tela de entrada'!AB34,'Tela de entrada'!$B$13:$B$32,0),1)-'Tela de entrada'!AB17-'Tela de entrada'!AB22,0)</f>
        <v>7.5</v>
      </c>
    </row>
    <row r="13" spans="1:26" x14ac:dyDescent="0.25">
      <c r="E13" s="6" t="s">
        <v>74</v>
      </c>
      <c r="F13" s="6"/>
      <c r="G13" s="6">
        <f>MAX(INDEX('Tela de entrada'!$C$13:$C$32,MATCH('Tela de entrada'!I34,'Tela de entrada'!$B$13:$B$32,0),1)-'Tela de entrada'!I17-'Tela de entrada'!I22-'Tela de entrada'!I30,0)</f>
        <v>0</v>
      </c>
      <c r="H13" s="6">
        <f>MAX(INDEX('Tela de entrada'!$C$13:$C$32,MATCH('Tela de entrada'!J34,'Tela de entrada'!$B$13:$B$32,0),1)-'Tela de entrada'!J17-'Tela de entrada'!J22-'Tela de entrada'!J30,0)</f>
        <v>0</v>
      </c>
      <c r="I13" s="6">
        <f>MAX(INDEX('Tela de entrada'!$C$13:$C$32,MATCH('Tela de entrada'!K34,'Tela de entrada'!$B$13:$B$32,0),1)-'Tela de entrada'!K17-'Tela de entrada'!K22-'Tela de entrada'!K30,0)</f>
        <v>0</v>
      </c>
      <c r="J13" s="6">
        <f>MAX(INDEX('Tela de entrada'!$C$13:$C$32,MATCH('Tela de entrada'!L34,'Tela de entrada'!$B$13:$B$32,0),1)-'Tela de entrada'!L17-'Tela de entrada'!L22-'Tela de entrada'!L30,0)</f>
        <v>0</v>
      </c>
      <c r="K13" s="6">
        <f>MAX(INDEX('Tela de entrada'!$C$13:$C$32,MATCH('Tela de entrada'!M34,'Tela de entrada'!$B$13:$B$32,0),1)-'Tela de entrada'!M17-'Tela de entrada'!M22-'Tela de entrada'!M30,0)</f>
        <v>0.5</v>
      </c>
      <c r="L13" s="6">
        <f>MAX(INDEX('Tela de entrada'!$C$13:$C$32,MATCH('Tela de entrada'!N34,'Tela de entrada'!$B$13:$B$32,0),1)-'Tela de entrada'!N17-'Tela de entrada'!N22-'Tela de entrada'!N30,0)</f>
        <v>0.5</v>
      </c>
      <c r="M13" s="6">
        <f>MAX(INDEX('Tela de entrada'!$C$13:$C$32,MATCH('Tela de entrada'!O34,'Tela de entrada'!$B$13:$B$32,0),1)-'Tela de entrada'!O17-'Tela de entrada'!O22-'Tela de entrada'!O30,0)</f>
        <v>2</v>
      </c>
      <c r="N13" s="6">
        <f>MAX(INDEX('Tela de entrada'!$C$13:$C$32,MATCH('Tela de entrada'!P34,'Tela de entrada'!$B$13:$B$32,0),1)-'Tela de entrada'!P17-'Tela de entrada'!P22-'Tela de entrada'!P30,0)</f>
        <v>5</v>
      </c>
      <c r="O13" s="6">
        <f>MAX(INDEX('Tela de entrada'!$C$13:$C$32,MATCH('Tela de entrada'!Q34,'Tela de entrada'!$B$13:$B$32,0),1)-'Tela de entrada'!Q17-'Tela de entrada'!Q22-'Tela de entrada'!Q30,0)</f>
        <v>5</v>
      </c>
      <c r="P13" s="6">
        <f>MAX(INDEX('Tela de entrada'!$C$13:$C$32,MATCH('Tela de entrada'!R34,'Tela de entrada'!$B$13:$B$32,0),1)-'Tela de entrada'!R17-'Tela de entrada'!R22-'Tela de entrada'!R30,0)</f>
        <v>8</v>
      </c>
      <c r="Q13" s="6">
        <f>MAX(INDEX('Tela de entrada'!$C$13:$C$32,MATCH('Tela de entrada'!S34,'Tela de entrada'!$B$13:$B$32,0),1)-'Tela de entrada'!S17-'Tela de entrada'!S22-'Tela de entrada'!S30,0)</f>
        <v>9.5</v>
      </c>
      <c r="R13" s="6">
        <f>MAX(INDEX('Tela de entrada'!$C$13:$C$32,MATCH('Tela de entrada'!T34,'Tela de entrada'!$B$13:$B$32,0),1)-'Tela de entrada'!T17-'Tela de entrada'!T22-'Tela de entrada'!T30,0)</f>
        <v>8</v>
      </c>
      <c r="S13" s="6">
        <f>MAX(INDEX('Tela de entrada'!$C$13:$C$32,MATCH('Tela de entrada'!U34,'Tela de entrada'!$B$13:$B$32,0),1)-'Tela de entrada'!U17-'Tela de entrada'!U22-'Tela de entrada'!U30,0)</f>
        <v>6.4999999999999964</v>
      </c>
      <c r="T13" s="6">
        <f>MAX(INDEX('Tela de entrada'!$C$13:$C$32,MATCH('Tela de entrada'!V34,'Tela de entrada'!$B$13:$B$32,0),1)-'Tela de entrada'!V17-'Tela de entrada'!V22-'Tela de entrada'!V30,0)</f>
        <v>8</v>
      </c>
      <c r="U13" s="6">
        <f>MAX(INDEX('Tela de entrada'!$C$13:$C$32,MATCH('Tela de entrada'!W34,'Tela de entrada'!$B$13:$B$32,0),1)-'Tela de entrada'!W17-'Tela de entrada'!W22-'Tela de entrada'!W30,0)</f>
        <v>8</v>
      </c>
      <c r="V13" s="6">
        <f>MAX(INDEX('Tela de entrada'!$C$13:$C$32,MATCH('Tela de entrada'!X34,'Tela de entrada'!$B$13:$B$32,0),1)-'Tela de entrada'!X17-'Tela de entrada'!X22-'Tela de entrada'!X30,0)</f>
        <v>5</v>
      </c>
      <c r="W13" s="6">
        <f>MAX(INDEX('Tela de entrada'!$C$13:$C$32,MATCH('Tela de entrada'!Y34,'Tela de entrada'!$B$13:$B$32,0),1)-'Tela de entrada'!Y17-'Tela de entrada'!Y22-'Tela de entrada'!Y30,0)</f>
        <v>3.5</v>
      </c>
      <c r="X13" s="6">
        <f>MAX(INDEX('Tela de entrada'!$C$13:$C$32,MATCH('Tela de entrada'!Z34,'Tela de entrada'!$B$13:$B$32,0),1)-'Tela de entrada'!Z17-'Tela de entrada'!Z22-'Tela de entrada'!Z30,0)</f>
        <v>2</v>
      </c>
      <c r="Y13" s="6">
        <f>MAX(INDEX('Tela de entrada'!$C$13:$C$32,MATCH('Tela de entrada'!AA34,'Tela de entrada'!$B$13:$B$32,0),1)-'Tela de entrada'!AA17-'Tela de entrada'!AA22-'Tela de entrada'!AA30,0)</f>
        <v>0</v>
      </c>
      <c r="Z13" s="6">
        <f>MAX(INDEX('Tela de entrada'!$C$13:$C$32,MATCH('Tela de entrada'!AB34,'Tela de entrada'!$B$13:$B$32,0),1)-'Tela de entrada'!AB17-'Tela de entrada'!AB22-'Tela de entrada'!AB30,0)</f>
        <v>0</v>
      </c>
    </row>
  </sheetData>
  <mergeCells count="7">
    <mergeCell ref="E6:F6"/>
    <mergeCell ref="E7:F7"/>
    <mergeCell ref="E8:F8"/>
    <mergeCell ref="E2:F2"/>
    <mergeCell ref="E3:F3"/>
    <mergeCell ref="E4:F4"/>
    <mergeCell ref="E5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Tela de entrada</vt:lpstr>
      <vt:lpstr>Contrato Flexível Percentual</vt:lpstr>
      <vt:lpstr>Contrato Firme</vt:lpstr>
      <vt:lpstr>Contrato Flexível Prioridade</vt:lpstr>
      <vt:lpstr>Plan1</vt:lpstr>
      <vt:lpstr>Plan5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2014.1.0</dc:creator>
  <cp:lastModifiedBy>2014.1.0</cp:lastModifiedBy>
  <dcterms:created xsi:type="dcterms:W3CDTF">2013-09-04T13:22:03Z</dcterms:created>
  <dcterms:modified xsi:type="dcterms:W3CDTF">2013-09-06T21:03:39Z</dcterms:modified>
</cp:coreProperties>
</file>