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SE\GERCS - CONTAS SETORIAIS\CONTA CCC\1 OPERAÇÕES\2022\12. Dezembro22\Sub-rogação\"/>
    </mc:Choice>
  </mc:AlternateContent>
  <xr:revisionPtr revIDLastSave="0" documentId="13_ncr:1_{FE13A728-9546-40AB-B4E6-35C1365D2A88}" xr6:coauthVersionLast="47" xr6:coauthVersionMax="47" xr10:uidLastSave="{00000000-0000-0000-0000-000000000000}"/>
  <bookViews>
    <workbookView xWindow="-120" yWindow="-120" windowWidth="38640" windowHeight="15720" xr2:uid="{FEFC86EE-4C3D-4907-BEC7-47C5F33CDDA4}"/>
  </bookViews>
  <sheets>
    <sheet name="Resumo" sheetId="3" r:id="rId1"/>
    <sheet name="REA_7385" sheetId="1" r:id="rId2"/>
    <sheet name="REA_7408" sheetId="4" r:id="rId3"/>
    <sheet name="REA_7409" sheetId="5" r:id="rId4"/>
    <sheet name="REA_10630" sheetId="7" r:id="rId5"/>
    <sheet name="REA_10630_Fornecedores" sheetId="8" r:id="rId6"/>
  </sheets>
  <definedNames>
    <definedName name="_xlnm._FilterDatabase" localSheetId="4" hidden="1">REA_10630!$B$11:$J$27</definedName>
    <definedName name="_xlnm._FilterDatabase" localSheetId="5" hidden="1">REA_10630_Fornecedores!$B$11:$E$16</definedName>
    <definedName name="_xlnm._FilterDatabase" localSheetId="1" hidden="1">REA_7385!$B$7:$L$64</definedName>
    <definedName name="_xlnm._FilterDatabase" localSheetId="2" hidden="1">REA_7408!$B$8:$S$12</definedName>
    <definedName name="_xlnm._FilterDatabase" localSheetId="3" hidden="1">REA_7409!$B$8:$W$13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8" i="4" l="1"/>
  <c r="H18" i="7"/>
  <c r="E26" i="8" l="1"/>
  <c r="E25" i="8"/>
  <c r="E30" i="8"/>
  <c r="E31" i="8"/>
  <c r="Y10" i="8" l="1"/>
  <c r="Z10" i="8"/>
  <c r="AA10" i="8"/>
  <c r="AB10" i="8"/>
  <c r="AC10" i="8"/>
  <c r="AD10" i="8"/>
  <c r="AE10" i="8"/>
  <c r="E29" i="8"/>
  <c r="E28" i="8"/>
  <c r="I13" i="7"/>
  <c r="I14" i="7"/>
  <c r="I15" i="7"/>
  <c r="I16" i="7"/>
  <c r="I17" i="7"/>
  <c r="I18" i="7"/>
  <c r="I19" i="7"/>
  <c r="I20" i="7"/>
  <c r="I21" i="7"/>
  <c r="I22" i="7"/>
  <c r="I12" i="7"/>
  <c r="J22" i="7"/>
  <c r="F21" i="7"/>
  <c r="F22" i="7"/>
  <c r="W10" i="8"/>
  <c r="X10" i="8"/>
  <c r="E27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G10" i="8"/>
  <c r="F10" i="8"/>
  <c r="J20" i="7"/>
  <c r="F20" i="7"/>
  <c r="R17" i="4"/>
  <c r="R15" i="4"/>
  <c r="R16" i="4"/>
  <c r="L82" i="1"/>
  <c r="K82" i="1"/>
  <c r="E24" i="8"/>
  <c r="E21" i="8" l="1"/>
  <c r="E23" i="8"/>
  <c r="AE22" i="8"/>
  <c r="E22" i="8" s="1"/>
  <c r="J19" i="7"/>
  <c r="F19" i="7"/>
  <c r="J18" i="7"/>
  <c r="F18" i="7"/>
  <c r="K70" i="1"/>
  <c r="E68" i="1"/>
  <c r="K81" i="1"/>
  <c r="V16" i="5"/>
  <c r="W16" i="5" s="1"/>
  <c r="K80" i="1"/>
  <c r="H17" i="7"/>
  <c r="J21" i="7" s="1"/>
  <c r="K23" i="7"/>
  <c r="K24" i="7"/>
  <c r="K25" i="7"/>
  <c r="K26" i="7"/>
  <c r="K27" i="7"/>
  <c r="E20" i="8"/>
  <c r="J17" i="7"/>
  <c r="F17" i="7"/>
  <c r="F16" i="7"/>
  <c r="J16" i="7"/>
  <c r="E19" i="8"/>
  <c r="E18" i="8"/>
  <c r="F15" i="7"/>
  <c r="J15" i="7"/>
  <c r="F15" i="5"/>
  <c r="R14" i="4"/>
  <c r="K78" i="1" l="1"/>
  <c r="K79" i="1"/>
  <c r="U15" i="5"/>
  <c r="K15" i="5"/>
  <c r="V15" i="5" s="1"/>
  <c r="K9" i="1"/>
  <c r="V14" i="5"/>
  <c r="R13" i="4"/>
  <c r="K77" i="1"/>
  <c r="K76" i="1" l="1"/>
  <c r="R12" i="4"/>
  <c r="V13" i="5" l="1"/>
  <c r="K75" i="1" l="1"/>
  <c r="E15" i="8" l="1"/>
  <c r="AE17" i="8"/>
  <c r="E17" i="8" s="1"/>
  <c r="J14" i="7"/>
  <c r="F14" i="7"/>
  <c r="K74" i="1"/>
  <c r="G9" i="8"/>
  <c r="F9" i="8"/>
  <c r="E9" i="8"/>
  <c r="E16" i="8" l="1"/>
  <c r="E13" i="8"/>
  <c r="E14" i="8"/>
  <c r="J13" i="7"/>
  <c r="F13" i="7"/>
  <c r="R11" i="4"/>
  <c r="V11" i="5"/>
  <c r="V12" i="5" l="1"/>
  <c r="K73" i="1"/>
  <c r="G9" i="7" l="1"/>
  <c r="F9" i="7"/>
  <c r="F12" i="7"/>
  <c r="K72" i="1" l="1"/>
  <c r="K71" i="1"/>
  <c r="K69" i="1"/>
  <c r="K68" i="1" l="1"/>
  <c r="K67" i="1"/>
  <c r="K66" i="1"/>
  <c r="K65" i="1"/>
  <c r="H7" i="3"/>
  <c r="G7" i="3"/>
  <c r="F7" i="3"/>
  <c r="E7" i="3"/>
  <c r="D7" i="3"/>
  <c r="C7" i="3"/>
  <c r="H8" i="3"/>
  <c r="H9" i="3" s="1"/>
  <c r="G8" i="3"/>
  <c r="G9" i="3" s="1"/>
  <c r="G10" i="3" s="1"/>
  <c r="G11" i="3" s="1"/>
  <c r="F8" i="3"/>
  <c r="F9" i="3" s="1"/>
  <c r="E8" i="3"/>
  <c r="D8" i="3"/>
  <c r="N12" i="7"/>
  <c r="E9" i="7"/>
  <c r="Q12" i="7" l="1"/>
  <c r="O12" i="7"/>
  <c r="P12" i="7"/>
  <c r="G14" i="7"/>
  <c r="G13" i="7"/>
  <c r="E9" i="3"/>
  <c r="E10" i="3" s="1"/>
  <c r="E11" i="3" s="1"/>
  <c r="G12" i="7"/>
  <c r="J12" i="7" s="1"/>
  <c r="D9" i="3"/>
  <c r="F10" i="3"/>
  <c r="F11" i="3" s="1"/>
  <c r="H10" i="3"/>
  <c r="G12" i="3"/>
  <c r="N13" i="7"/>
  <c r="T12" i="7" l="1"/>
  <c r="K13" i="7" s="1"/>
  <c r="N14" i="7"/>
  <c r="G20" i="7" s="1"/>
  <c r="G17" i="7"/>
  <c r="Q13" i="7"/>
  <c r="T13" i="7" s="1"/>
  <c r="K16" i="7" s="1"/>
  <c r="O13" i="7"/>
  <c r="R13" i="7" s="1"/>
  <c r="K15" i="7" s="1"/>
  <c r="P13" i="7"/>
  <c r="G16" i="7"/>
  <c r="G15" i="7"/>
  <c r="S12" i="7"/>
  <c r="K14" i="7" s="1"/>
  <c r="R12" i="7"/>
  <c r="K12" i="7" s="1"/>
  <c r="E12" i="3"/>
  <c r="E13" i="3" s="1"/>
  <c r="H11" i="3"/>
  <c r="F12" i="3"/>
  <c r="F13" i="3" s="1"/>
  <c r="D10" i="3"/>
  <c r="D11" i="3" s="1"/>
  <c r="G13" i="3"/>
  <c r="G18" i="7" l="1"/>
  <c r="G19" i="7"/>
  <c r="N15" i="7"/>
  <c r="S13" i="7"/>
  <c r="K17" i="7" s="1"/>
  <c r="Q14" i="7"/>
  <c r="O14" i="7"/>
  <c r="P14" i="7"/>
  <c r="H12" i="3"/>
  <c r="H13" i="3" s="1"/>
  <c r="H14" i="3" s="1"/>
  <c r="H15" i="3" s="1"/>
  <c r="G14" i="3"/>
  <c r="D12" i="3"/>
  <c r="F14" i="3"/>
  <c r="E14" i="3"/>
  <c r="G22" i="7" l="1"/>
  <c r="G21" i="7"/>
  <c r="P15" i="7"/>
  <c r="Q15" i="7"/>
  <c r="T15" i="7" s="1"/>
  <c r="O15" i="7"/>
  <c r="R15" i="7" s="1"/>
  <c r="K22" i="7" s="1"/>
  <c r="N16" i="7"/>
  <c r="S15" i="7"/>
  <c r="K21" i="7" s="1"/>
  <c r="S14" i="7"/>
  <c r="K19" i="7" s="1"/>
  <c r="R14" i="7"/>
  <c r="K18" i="7" s="1"/>
  <c r="T14" i="7"/>
  <c r="K20" i="7" s="1"/>
  <c r="H16" i="3"/>
  <c r="H17" i="3" s="1"/>
  <c r="D13" i="3"/>
  <c r="G15" i="3"/>
  <c r="F15" i="3"/>
  <c r="E15" i="3"/>
  <c r="E16" i="3" s="1"/>
  <c r="Q16" i="7" l="1"/>
  <c r="O16" i="7"/>
  <c r="P16" i="7"/>
  <c r="N17" i="7"/>
  <c r="H18" i="3"/>
  <c r="H19" i="3" s="1"/>
  <c r="G16" i="3"/>
  <c r="G17" i="3" s="1"/>
  <c r="G18" i="3" s="1"/>
  <c r="D14" i="3"/>
  <c r="F16" i="3"/>
  <c r="E17" i="3"/>
  <c r="T16" i="7" l="1"/>
  <c r="S16" i="7"/>
  <c r="N18" i="7"/>
  <c r="O17" i="7"/>
  <c r="P17" i="7"/>
  <c r="Q17" i="7"/>
  <c r="T17" i="7" s="1"/>
  <c r="R16" i="7"/>
  <c r="E18" i="3"/>
  <c r="E19" i="3" s="1"/>
  <c r="F17" i="3"/>
  <c r="F18" i="3" s="1"/>
  <c r="F19" i="3" s="1"/>
  <c r="D15" i="3"/>
  <c r="H20" i="3"/>
  <c r="G19" i="3"/>
  <c r="S17" i="7" l="1"/>
  <c r="R17" i="7"/>
  <c r="Q18" i="7"/>
  <c r="O18" i="7"/>
  <c r="R18" i="7" s="1"/>
  <c r="P18" i="7"/>
  <c r="N19" i="7"/>
  <c r="D16" i="3"/>
  <c r="D17" i="3" s="1"/>
  <c r="H21" i="3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G20" i="3"/>
  <c r="F20" i="3"/>
  <c r="E20" i="3"/>
  <c r="E21" i="3" s="1"/>
  <c r="T18" i="7" l="1"/>
  <c r="S18" i="7"/>
  <c r="N20" i="7"/>
  <c r="P19" i="7"/>
  <c r="P21" i="7" s="1"/>
  <c r="Q19" i="7"/>
  <c r="Q21" i="7" s="1"/>
  <c r="O19" i="7"/>
  <c r="O21" i="7" s="1"/>
  <c r="F21" i="3"/>
  <c r="H40" i="3"/>
  <c r="H41" i="3" s="1"/>
  <c r="G21" i="3"/>
  <c r="D18" i="3"/>
  <c r="D19" i="3" s="1"/>
  <c r="D20" i="3" s="1"/>
  <c r="E22" i="3"/>
  <c r="E23" i="3" s="1"/>
  <c r="T19" i="7" l="1"/>
  <c r="R19" i="7"/>
  <c r="S19" i="7"/>
  <c r="H42" i="3"/>
  <c r="H43" i="3" s="1"/>
  <c r="F22" i="3"/>
  <c r="G22" i="3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D21" i="3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E24" i="3"/>
  <c r="G44" i="3" l="1"/>
  <c r="G45" i="3" s="1"/>
  <c r="G46" i="3" s="1"/>
  <c r="G47" i="3" s="1"/>
  <c r="F23" i="3"/>
  <c r="H44" i="3"/>
  <c r="E25" i="3"/>
  <c r="E26" i="3" s="1"/>
  <c r="E27" i="3" s="1"/>
  <c r="E28" i="3" s="1"/>
  <c r="E29" i="3" s="1"/>
  <c r="E30" i="3" s="1"/>
  <c r="G48" i="3" l="1"/>
  <c r="G49" i="3" s="1"/>
  <c r="G50" i="3" s="1"/>
  <c r="F24" i="3"/>
  <c r="H45" i="3"/>
  <c r="H46" i="3" s="1"/>
  <c r="H47" i="3" s="1"/>
  <c r="H48" i="3" s="1"/>
  <c r="H49" i="3" s="1"/>
  <c r="H50" i="3" s="1"/>
  <c r="E31" i="3"/>
  <c r="E32" i="3" s="1"/>
  <c r="E33" i="3" s="1"/>
  <c r="E34" i="3" s="1"/>
  <c r="E35" i="3" s="1"/>
  <c r="E36" i="3" s="1"/>
  <c r="C8" i="3"/>
  <c r="V10" i="5"/>
  <c r="R10" i="4"/>
  <c r="K11" i="1"/>
  <c r="K13" i="1"/>
  <c r="K12" i="1"/>
  <c r="K15" i="1"/>
  <c r="K1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L9" i="1"/>
  <c r="K10" i="1"/>
  <c r="S17" i="4" l="1"/>
  <c r="S18" i="4"/>
  <c r="S16" i="4"/>
  <c r="S15" i="4"/>
  <c r="L70" i="1"/>
  <c r="L12" i="1"/>
  <c r="L81" i="1"/>
  <c r="L80" i="1"/>
  <c r="L10" i="1"/>
  <c r="L34" i="1"/>
  <c r="L25" i="1"/>
  <c r="W13" i="5"/>
  <c r="W14" i="5"/>
  <c r="W15" i="5"/>
  <c r="L26" i="1"/>
  <c r="L57" i="1"/>
  <c r="L33" i="1"/>
  <c r="L56" i="1"/>
  <c r="L32" i="1"/>
  <c r="L31" i="1"/>
  <c r="L46" i="1"/>
  <c r="L22" i="1"/>
  <c r="L45" i="1"/>
  <c r="L21" i="1"/>
  <c r="L13" i="1"/>
  <c r="L58" i="1"/>
  <c r="L42" i="1"/>
  <c r="L18" i="1"/>
  <c r="L49" i="1"/>
  <c r="L17" i="1"/>
  <c r="L40" i="1"/>
  <c r="L16" i="1"/>
  <c r="L55" i="1"/>
  <c r="L39" i="1"/>
  <c r="L23" i="1"/>
  <c r="L54" i="1"/>
  <c r="L30" i="1"/>
  <c r="L61" i="1"/>
  <c r="L29" i="1"/>
  <c r="L60" i="1"/>
  <c r="L52" i="1"/>
  <c r="L44" i="1"/>
  <c r="L36" i="1"/>
  <c r="L28" i="1"/>
  <c r="L20" i="1"/>
  <c r="L50" i="1"/>
  <c r="L41" i="1"/>
  <c r="L79" i="1"/>
  <c r="L77" i="1"/>
  <c r="L78" i="1"/>
  <c r="L75" i="1"/>
  <c r="L76" i="1"/>
  <c r="L74" i="1"/>
  <c r="L73" i="1"/>
  <c r="L72" i="1"/>
  <c r="L69" i="1"/>
  <c r="L67" i="1"/>
  <c r="L65" i="1"/>
  <c r="L71" i="1"/>
  <c r="L68" i="1"/>
  <c r="L66" i="1"/>
  <c r="L64" i="1"/>
  <c r="L48" i="1"/>
  <c r="L24" i="1"/>
  <c r="L63" i="1"/>
  <c r="L47" i="1"/>
  <c r="L15" i="1"/>
  <c r="L62" i="1"/>
  <c r="L38" i="1"/>
  <c r="L14" i="1"/>
  <c r="L53" i="1"/>
  <c r="L37" i="1"/>
  <c r="L59" i="1"/>
  <c r="L51" i="1"/>
  <c r="L43" i="1"/>
  <c r="L35" i="1"/>
  <c r="L27" i="1"/>
  <c r="L19" i="1"/>
  <c r="L11" i="1"/>
  <c r="S14" i="4"/>
  <c r="S13" i="4"/>
  <c r="S12" i="4"/>
  <c r="S11" i="4"/>
  <c r="W12" i="5"/>
  <c r="W11" i="5"/>
  <c r="W10" i="5"/>
  <c r="F25" i="3"/>
  <c r="D38" i="3"/>
  <c r="E37" i="3"/>
  <c r="E38" i="3" s="1"/>
  <c r="E39" i="3" s="1"/>
  <c r="E40" i="3" s="1"/>
  <c r="E41" i="3" s="1"/>
  <c r="E42" i="3" s="1"/>
  <c r="E43" i="3" s="1"/>
  <c r="E44" i="3" s="1"/>
  <c r="C9" i="3"/>
  <c r="I9" i="3" s="1"/>
  <c r="S10" i="4"/>
  <c r="I8" i="3"/>
  <c r="E45" i="3" l="1"/>
  <c r="E46" i="3" s="1"/>
  <c r="E47" i="3" s="1"/>
  <c r="E48" i="3" s="1"/>
  <c r="E49" i="3" s="1"/>
  <c r="E50" i="3" s="1"/>
  <c r="F26" i="3"/>
  <c r="D39" i="3"/>
  <c r="D40" i="3" s="1"/>
  <c r="D41" i="3" s="1"/>
  <c r="D42" i="3" s="1"/>
  <c r="D43" i="3" s="1"/>
  <c r="C10" i="3"/>
  <c r="F27" i="3" l="1"/>
  <c r="D44" i="3"/>
  <c r="D45" i="3" s="1"/>
  <c r="D46" i="3" s="1"/>
  <c r="D47" i="3" s="1"/>
  <c r="D48" i="3" s="1"/>
  <c r="D49" i="3" s="1"/>
  <c r="D50" i="3" s="1"/>
  <c r="I10" i="3"/>
  <c r="C11" i="3"/>
  <c r="F28" i="3" l="1"/>
  <c r="C12" i="3"/>
  <c r="I11" i="3"/>
  <c r="F29" i="3" l="1"/>
  <c r="C13" i="3"/>
  <c r="C14" i="3" s="1"/>
  <c r="I12" i="3"/>
  <c r="F30" i="3" l="1"/>
  <c r="I13" i="3"/>
  <c r="I14" i="3"/>
  <c r="C15" i="3"/>
  <c r="C16" i="3" s="1"/>
  <c r="I16" i="3" s="1"/>
  <c r="F31" i="3" l="1"/>
  <c r="I15" i="3"/>
  <c r="C17" i="3"/>
  <c r="F32" i="3" l="1"/>
  <c r="I17" i="3"/>
  <c r="C18" i="3"/>
  <c r="C19" i="3" s="1"/>
  <c r="I19" i="3" s="1"/>
  <c r="F33" i="3" l="1"/>
  <c r="C20" i="3"/>
  <c r="I20" i="3" s="1"/>
  <c r="I18" i="3"/>
  <c r="F34" i="3" l="1"/>
  <c r="C21" i="3"/>
  <c r="I21" i="3" s="1"/>
  <c r="F35" i="3" l="1"/>
  <c r="C22" i="3"/>
  <c r="C23" i="3" s="1"/>
  <c r="I23" i="3" s="1"/>
  <c r="F36" i="3" l="1"/>
  <c r="C24" i="3"/>
  <c r="I24" i="3" s="1"/>
  <c r="I22" i="3"/>
  <c r="F37" i="3" l="1"/>
  <c r="C25" i="3"/>
  <c r="I25" i="3" s="1"/>
  <c r="F38" i="3" l="1"/>
  <c r="C26" i="3"/>
  <c r="I26" i="3" s="1"/>
  <c r="F39" i="3" l="1"/>
  <c r="C27" i="3"/>
  <c r="I27" i="3" s="1"/>
  <c r="F40" i="3" l="1"/>
  <c r="C28" i="3"/>
  <c r="I28" i="3" s="1"/>
  <c r="F41" i="3" l="1"/>
  <c r="F42" i="3" s="1"/>
  <c r="F43" i="3" s="1"/>
  <c r="F44" i="3" s="1"/>
  <c r="F45" i="3" s="1"/>
  <c r="F46" i="3" s="1"/>
  <c r="F47" i="3" s="1"/>
  <c r="F48" i="3" s="1"/>
  <c r="F49" i="3" s="1"/>
  <c r="F50" i="3" s="1"/>
  <c r="C29" i="3"/>
  <c r="I29" i="3" s="1"/>
  <c r="C30" i="3" l="1"/>
  <c r="I30" i="3" s="1"/>
  <c r="C31" i="3" l="1"/>
  <c r="C32" i="3" l="1"/>
  <c r="I32" i="3" s="1"/>
  <c r="I31" i="3"/>
  <c r="C33" i="3" l="1"/>
  <c r="I33" i="3" s="1"/>
  <c r="C34" i="3" l="1"/>
  <c r="I34" i="3" s="1"/>
  <c r="C35" i="3" l="1"/>
  <c r="I35" i="3" s="1"/>
  <c r="C36" i="3" l="1"/>
  <c r="I36" i="3" s="1"/>
  <c r="C37" i="3" l="1"/>
  <c r="I37" i="3" s="1"/>
  <c r="C38" i="3" l="1"/>
  <c r="I38" i="3" s="1"/>
  <c r="C39" i="3" l="1"/>
  <c r="I39" i="3" s="1"/>
  <c r="C40" i="3" l="1"/>
  <c r="I40" i="3" s="1"/>
  <c r="C41" i="3" l="1"/>
  <c r="I41" i="3" s="1"/>
  <c r="C42" i="3" l="1"/>
  <c r="I42" i="3" s="1"/>
  <c r="C43" i="3" l="1"/>
  <c r="I43" i="3" s="1"/>
  <c r="C44" i="3" l="1"/>
  <c r="I44" i="3" s="1"/>
  <c r="C45" i="3" l="1"/>
  <c r="I45" i="3" s="1"/>
  <c r="C46" i="3" l="1"/>
  <c r="I46" i="3" s="1"/>
  <c r="C47" i="3" l="1"/>
  <c r="I47" i="3" s="1"/>
  <c r="C48" i="3" l="1"/>
  <c r="I48" i="3" s="1"/>
  <c r="C49" i="3" l="1"/>
  <c r="I49" i="3" s="1"/>
  <c r="C50" i="3" l="1"/>
  <c r="I5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47" authorId="0" shapeId="0" xr:uid="{3EE4E172-161F-4883-A580-2D69EECF253C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47" authorId="0" shapeId="0" xr:uid="{17453F36-4440-4D55-B9BC-A4D3EEECED17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E70" authorId="0" shapeId="0" xr:uid="{5DD171B2-A2CF-4074-ADD8-FE7F69E42586}">
      <text>
        <r>
          <rPr>
            <sz val="9"/>
            <color indexed="81"/>
            <rFont val="Segoe UI"/>
            <family val="2"/>
          </rPr>
          <t>No despacho o valor a ser destinado à Intec estava contemplando os tributos.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15" authorId="0" shapeId="0" xr:uid="{18DBE935-C7E0-4C59-8C0F-1E3517FC6960}">
      <text>
        <r>
          <rPr>
            <b/>
            <sz val="9"/>
            <color indexed="81"/>
            <rFont val="Segoe UI"/>
            <family val="2"/>
          </rPr>
          <t>Valor incluído na 7º medição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H13" authorId="0" shapeId="0" xr:uid="{7F6268A1-8C13-43A9-A6C2-BA4DA0DEB478}">
      <text>
        <r>
          <rPr>
            <b/>
            <sz val="9"/>
            <color indexed="81"/>
            <rFont val="Segoe UI"/>
            <family val="2"/>
          </rPr>
          <t>Repasse parcial em virtude de pendência cadastral e certidão</t>
        </r>
      </text>
    </comment>
    <comment ref="H18" authorId="0" shapeId="0" xr:uid="{001B37B2-79A5-4B00-95E2-6BAE2E89F3F3}">
      <text>
        <r>
          <rPr>
            <b/>
            <sz val="9"/>
            <color indexed="81"/>
            <rFont val="Segoe UI"/>
            <family val="2"/>
          </rPr>
          <t>Repasse realizado em 3 datas devido à pendência cadastral. Correção no valor solicitado em 23/11 via chamado.</t>
        </r>
      </text>
    </comment>
    <comment ref="H19" authorId="0" shapeId="0" xr:uid="{FCE05AE6-9BA8-47C8-BC4E-7A868D8F755F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Q23" authorId="0" shapeId="0" xr:uid="{EEE70949-B84A-49B3-ABA0-1191EFCB710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R23" authorId="0" shapeId="0" xr:uid="{700C731D-1A68-483D-9A35-9830AAFB4CBC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Q24" authorId="0" shapeId="0" xr:uid="{31B4DE70-7ADC-47E1-8283-E3470DEA3A05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R24" authorId="0" shapeId="0" xr:uid="{8B573A4F-2379-4649-8151-C3A2F50CE36B}">
      <text>
        <r>
          <rPr>
            <b/>
            <sz val="9"/>
            <color indexed="81"/>
            <rFont val="Segoe UI"/>
            <family val="2"/>
          </rPr>
          <t>Pendência cadastral
Correção do valor solicitado em 23/11/2022, chamado 49098</t>
        </r>
      </text>
    </comment>
    <comment ref="S25" authorId="0" shapeId="0" xr:uid="{1958466C-7A67-4399-A2CA-14401F9237EE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6" authorId="0" shapeId="0" xr:uid="{EBDAD24C-71FD-406A-92E5-FC08C2273C5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8" authorId="0" shapeId="0" xr:uid="{F7C607C1-8599-48B3-8BAA-9F5FF2C975C5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S29" authorId="0" shapeId="0" xr:uid="{E8899FCD-CB72-4A0E-9F5F-E7FFDC72E8BB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</commentList>
</comments>
</file>

<file path=xl/sharedStrings.xml><?xml version="1.0" encoding="utf-8"?>
<sst xmlns="http://schemas.openxmlformats.org/spreadsheetml/2006/main" count="280" uniqueCount="163">
  <si>
    <t>Documento Aneel</t>
  </si>
  <si>
    <t>Montante do benefício</t>
  </si>
  <si>
    <t>Total</t>
  </si>
  <si>
    <t>AMAZONAS</t>
  </si>
  <si>
    <t>AMAZONAS ENERGIA</t>
  </si>
  <si>
    <t>http://www2.aneel.gov.br/cedoc/rea20187385ti.pdf</t>
  </si>
  <si>
    <t>Obra</t>
  </si>
  <si>
    <t>Interligação da localidade de Itacoatiara, no Estado do Amazonas, ao Sistema Interligado Nacional - SIN</t>
  </si>
  <si>
    <t>Despacho</t>
  </si>
  <si>
    <t>INTEC</t>
  </si>
  <si>
    <t>GI ENERGY</t>
  </si>
  <si>
    <t>LOGIX</t>
  </si>
  <si>
    <t>VIA MINEIRA</t>
  </si>
  <si>
    <t>SELT</t>
  </si>
  <si>
    <t>Reembolso Sub-rogação de Obras em Andamento - AMAZONAS ENERGIA</t>
  </si>
  <si>
    <t>Data de Publicação</t>
  </si>
  <si>
    <t>Data de Pagamento</t>
  </si>
  <si>
    <t>Saldo Remanescente</t>
  </si>
  <si>
    <t>Interligação da localidade de Parintins, no Estado do Amazonas, ao Sistema Interligado Nacional - SIN</t>
  </si>
  <si>
    <t>Resolução Autorizativa nº 7.408, DE 23 de outubro 2018</t>
  </si>
  <si>
    <t>http://www2.aneel.gov.br/cedoc/rea20187408ti.pdf</t>
  </si>
  <si>
    <t>Resolução Autorizativa nº 7.385, DE 9 de outubro 2018</t>
  </si>
  <si>
    <t>Resolução Autorizativa nº 7.409, DE 23 de outubro 2018</t>
  </si>
  <si>
    <t>http://www2.aneel.gov.br/cedoc/rea20187409ti.pdf</t>
  </si>
  <si>
    <t>Interligação da localidade de Humaitá, no Estado do Amazonas, ao Sistema Interligado Nacional - SIN</t>
  </si>
  <si>
    <t>Itacoatiara</t>
  </si>
  <si>
    <t>Parintins</t>
  </si>
  <si>
    <t>Humaitá</t>
  </si>
  <si>
    <t>Mês pagamento</t>
  </si>
  <si>
    <t>Silves</t>
  </si>
  <si>
    <t>Interligação das localidades de Itapiranga, Rio Preto da Eva, Silves, no Estado do Amazonas, ao Sistema Interligado Nacional - SIN</t>
  </si>
  <si>
    <t>Itapiranga</t>
  </si>
  <si>
    <t>Rio Preto da Eva</t>
  </si>
  <si>
    <t>Resolução Autorizativa nº 10.630, de 21 de setembro 2021</t>
  </si>
  <si>
    <t>% Avanço Físico</t>
  </si>
  <si>
    <t>Data da Solicitação</t>
  </si>
  <si>
    <t>Localidade</t>
  </si>
  <si>
    <t>% Avanço Financeiro</t>
  </si>
  <si>
    <t>% Reembolso</t>
  </si>
  <si>
    <t>Valor do Reembolso</t>
  </si>
  <si>
    <t>Avanço Físico Acumulado</t>
  </si>
  <si>
    <t>Avanço Financeiro Acumulado</t>
  </si>
  <si>
    <t>Percentual de Reembolso</t>
  </si>
  <si>
    <t>Art. 3º Para fazer jus ao reembolso da CCC, a Amazonas Distribuidora de Energia S.A. - AmE deverá informar o atingimento dos percentuais de avanço físico das obras à Câmara de Comercialização de Energia Elétrica – CCEE.
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</si>
  <si>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REA 7408/2018</t>
  </si>
  <si>
    <t>REA 7385/2018</t>
  </si>
  <si>
    <t>REA 7409/2018</t>
  </si>
  <si>
    <t>REA 10630/2021</t>
  </si>
  <si>
    <t>Reembolso de Sub-rogação de Obras em Andamento</t>
  </si>
  <si>
    <t>Valor sub-rogado</t>
  </si>
  <si>
    <t>Total das Obras</t>
  </si>
  <si>
    <t>ELECNOR</t>
  </si>
  <si>
    <t>Valor SE</t>
  </si>
  <si>
    <t>Valor LD</t>
  </si>
  <si>
    <t>Valor Total</t>
  </si>
  <si>
    <t>REMO</t>
  </si>
  <si>
    <t>REMOLUX</t>
  </si>
  <si>
    <t>ALUBAR</t>
  </si>
  <si>
    <t>AVALICON</t>
  </si>
  <si>
    <t>BRAMETAL</t>
  </si>
  <si>
    <t>DOSSEL</t>
  </si>
  <si>
    <t>ENGEMAP</t>
  </si>
  <si>
    <t>PLP PRODUTOS</t>
  </si>
  <si>
    <t>ZTT DO BRASIL</t>
  </si>
  <si>
    <t>WEG EQ</t>
  </si>
  <si>
    <t>PFIFFNER</t>
  </si>
  <si>
    <t>BREE</t>
  </si>
  <si>
    <t>ENERWATT</t>
  </si>
  <si>
    <t>SIEMENS ENERGY</t>
  </si>
  <si>
    <t>Medição</t>
  </si>
  <si>
    <t>1º a 3º</t>
  </si>
  <si>
    <t>4º</t>
  </si>
  <si>
    <t>https://www2.aneel.gov.br/cedoc/rea202211451ti.pdf</t>
  </si>
  <si>
    <t>Resolução Autorizativa Nº 11.451, DE 5 e abril de 2022</t>
  </si>
  <si>
    <t>ENERWATT SP</t>
  </si>
  <si>
    <t>IF ENGENHARIA</t>
  </si>
  <si>
    <t>LINHAS DO NORTE</t>
  </si>
  <si>
    <t>CIELT</t>
  </si>
  <si>
    <t>B.T.M.</t>
  </si>
  <si>
    <t>5º</t>
  </si>
  <si>
    <t>HITACHI ENERGY</t>
  </si>
  <si>
    <t>Resolução Autorizativa nº 12.178, DE 28 de junho 2022</t>
  </si>
  <si>
    <t>https://www2.aneel.gov.br/cedoc/rea202212178ti.pdf</t>
  </si>
  <si>
    <t>6º e 7º</t>
  </si>
  <si>
    <t>894_Retif</t>
  </si>
  <si>
    <t>BALTEAU</t>
  </si>
  <si>
    <t>SATEL</t>
  </si>
  <si>
    <t>ENGETOWER</t>
  </si>
  <si>
    <t>MARTE PROJETOS</t>
  </si>
  <si>
    <t>MATCH SOLUTIONS</t>
  </si>
  <si>
    <t>BALESTRO</t>
  </si>
  <si>
    <t>04.395.273/0001-33</t>
  </si>
  <si>
    <t>02.341.467/0001-20</t>
  </si>
  <si>
    <t>30.455.661/0001-72</t>
  </si>
  <si>
    <t>13.434.970/0001-47</t>
  </si>
  <si>
    <t>16.857.533/0001-24</t>
  </si>
  <si>
    <t>00.595.978/0001-43</t>
  </si>
  <si>
    <t>03.015.875/0001-55</t>
  </si>
  <si>
    <t>18.225.557/0001-96</t>
  </si>
  <si>
    <t>61.074.829/0011-03</t>
  </si>
  <si>
    <t>07.791.042/0007-22</t>
  </si>
  <si>
    <t>21.921.392/0001-00</t>
  </si>
  <si>
    <t>07.791.042/0002-18</t>
  </si>
  <si>
    <t>08.161.189/0001-06</t>
  </si>
  <si>
    <t>44.013.159/0031-31</t>
  </si>
  <si>
    <t>17.995.592/0002-02</t>
  </si>
  <si>
    <t>42.072.323/0001-30</t>
  </si>
  <si>
    <t>19.187.475/0001-67</t>
  </si>
  <si>
    <t>11.093.462/0001-17</t>
  </si>
  <si>
    <t>03.740.729/0001-92</t>
  </si>
  <si>
    <t>00.008.220/0001-61</t>
  </si>
  <si>
    <t>08.262.121/0001-13</t>
  </si>
  <si>
    <t>03.821.349/0001-82</t>
  </si>
  <si>
    <t>83.249.078/0001-71</t>
  </si>
  <si>
    <t>10.538.220/0001-27</t>
  </si>
  <si>
    <t>01.020.691/0003-10</t>
  </si>
  <si>
    <t>61.831.244/0001-00</t>
  </si>
  <si>
    <t>18.748.007/0001-51</t>
  </si>
  <si>
    <t>07.175.725/0030-02</t>
  </si>
  <si>
    <t>00.296.988/0001-88</t>
  </si>
  <si>
    <t>34.325.200/0001-36</t>
  </si>
  <si>
    <t>52.770.948/0002-00</t>
  </si>
  <si>
    <t>Limite Reembolso Mensal</t>
  </si>
  <si>
    <t>Limite Reembolso Acumulado até o mês</t>
  </si>
  <si>
    <t>METRUM</t>
  </si>
  <si>
    <t xml:space="preserve"> 04.928.581/0001-87</t>
  </si>
  <si>
    <t>8º e 9º</t>
  </si>
  <si>
    <t>INTELLI</t>
  </si>
  <si>
    <t>NEW POWER</t>
  </si>
  <si>
    <t>PRYSMIAN</t>
  </si>
  <si>
    <t>12.515.928/0001-98</t>
  </si>
  <si>
    <t>46.754.545/0001-94</t>
  </si>
  <si>
    <t>HUBBELL</t>
  </si>
  <si>
    <t>TEKMAX</t>
  </si>
  <si>
    <t>43.488.105/0005-78</t>
  </si>
  <si>
    <t>03.171.752/0001-03</t>
  </si>
  <si>
    <t>61.150.751/0091-35</t>
  </si>
  <si>
    <t>20.641.224/0001-90</t>
  </si>
  <si>
    <t>03.740.922/0001-23</t>
  </si>
  <si>
    <t>SIEMENS</t>
  </si>
  <si>
    <t>33.633.561/0001-87</t>
  </si>
  <si>
    <t>TRACTEBEL</t>
  </si>
  <si>
    <t>GERAFORTE</t>
  </si>
  <si>
    <t>10.618.016/0001-16</t>
  </si>
  <si>
    <t>66.018.441/0001-29</t>
  </si>
  <si>
    <t>COPPERMETAL</t>
  </si>
  <si>
    <t>CERAMICA SANTA TEREZINHA</t>
  </si>
  <si>
    <t>53.858.312/0001-05</t>
  </si>
  <si>
    <t>DELTA STAR</t>
  </si>
  <si>
    <t>54.485.735/0001-81</t>
  </si>
  <si>
    <t>ITAM</t>
  </si>
  <si>
    <t>15.815.491/0001-04</t>
  </si>
  <si>
    <t>sem cadastro</t>
  </si>
  <si>
    <t>MGK/SEMENSATO</t>
  </si>
  <si>
    <t>39.283.415/0001-55</t>
  </si>
  <si>
    <t>Valor do Reembolso Acumulado</t>
  </si>
  <si>
    <t>MEGAKRON</t>
  </si>
  <si>
    <t>47.973.830/0001-69</t>
  </si>
  <si>
    <t>61.150.751/0001-89</t>
  </si>
  <si>
    <t>CNPJ a verificar</t>
  </si>
  <si>
    <t>VGROW</t>
  </si>
  <si>
    <t>21.602.012/0001-66</t>
  </si>
  <si>
    <t>3261_Retif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</si>
</sst>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_-* #,##0.0000_-;\-* #,##0.0000_-;_-* &quot;-&quot;??_-;_-@_-"/>
    <numFmt numFmtId="167" formatCode="_-* #,##0.000_-;\-* #,##0.000_-;_-* &quot;-&quot;???_-;_-@_-"/>
    <numFmt numFmtId="168" formatCode="&quot;R$&quot;\ 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8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rgb="FFFFC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color rgb="FF002060"/>
      <name val="Calibri"/>
      <family val="2"/>
      <scheme val="minor"/>
    </font>
    <font>
      <b/>
      <sz val="10"/>
      <color theme="7"/>
      <name val="Arial"/>
      <family val="2"/>
    </font>
    <font>
      <sz val="10"/>
      <color theme="0"/>
      <name val="Arial"/>
      <family val="2"/>
    </font>
    <font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</borders>
  <cellStyleXfs count="6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7" applyNumberFormat="0" applyAlignment="0" applyProtection="0"/>
    <xf numFmtId="0" fontId="16" fillId="7" borderId="8" applyNumberFormat="0" applyAlignment="0" applyProtection="0"/>
    <xf numFmtId="0" fontId="17" fillId="7" borderId="7" applyNumberFormat="0" applyAlignment="0" applyProtection="0"/>
    <xf numFmtId="0" fontId="18" fillId="0" borderId="9" applyNumberFormat="0" applyFill="0" applyAlignment="0" applyProtection="0"/>
    <xf numFmtId="0" fontId="2" fillId="8" borderId="10" applyNumberFormat="0" applyAlignment="0" applyProtection="0"/>
    <xf numFmtId="0" fontId="19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4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2"/>
    <xf numFmtId="0" fontId="4" fillId="0" borderId="0" xfId="2" applyFont="1"/>
    <xf numFmtId="0" fontId="3" fillId="0" borderId="0" xfId="2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6" fillId="0" borderId="0" xfId="1" applyAlignment="1" applyProtection="1">
      <alignment vertical="center"/>
    </xf>
    <xf numFmtId="0" fontId="3" fillId="0" borderId="0" xfId="2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165" fontId="8" fillId="0" borderId="1" xfId="4" applyNumberFormat="1" applyFont="1" applyFill="1" applyBorder="1" applyAlignment="1">
      <alignment horizontal="center" vertical="center"/>
    </xf>
    <xf numFmtId="166" fontId="8" fillId="0" borderId="1" xfId="4" applyNumberFormat="1" applyFont="1" applyFill="1" applyBorder="1" applyAlignment="1">
      <alignment horizontal="center" vertical="center"/>
    </xf>
    <xf numFmtId="43" fontId="3" fillId="0" borderId="0" xfId="2" applyNumberFormat="1" applyAlignment="1">
      <alignment vertical="center"/>
    </xf>
    <xf numFmtId="165" fontId="3" fillId="0" borderId="0" xfId="2" applyNumberFormat="1" applyAlignment="1">
      <alignment vertical="center"/>
    </xf>
    <xf numFmtId="43" fontId="8" fillId="0" borderId="1" xfId="4" applyNumberFormat="1" applyFont="1" applyFill="1" applyBorder="1" applyAlignment="1">
      <alignment horizontal="center" vertical="center"/>
    </xf>
    <xf numFmtId="167" fontId="3" fillId="0" borderId="0" xfId="2" applyNumberFormat="1" applyAlignment="1">
      <alignment vertical="center"/>
    </xf>
    <xf numFmtId="44" fontId="8" fillId="0" borderId="0" xfId="5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17" fontId="8" fillId="0" borderId="1" xfId="0" applyNumberFormat="1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17" fontId="8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Alignment="1">
      <alignment vertical="center" wrapText="1"/>
    </xf>
    <xf numFmtId="1" fontId="8" fillId="0" borderId="1" xfId="2" applyNumberFormat="1" applyFont="1" applyFill="1" applyBorder="1" applyAlignment="1">
      <alignment horizontal="center" vertical="center"/>
    </xf>
    <xf numFmtId="168" fontId="5" fillId="0" borderId="0" xfId="59" applyNumberFormat="1" applyFont="1" applyAlignment="1">
      <alignment vertical="center"/>
    </xf>
    <xf numFmtId="14" fontId="8" fillId="0" borderId="2" xfId="2" applyNumberFormat="1" applyFont="1" applyFill="1" applyBorder="1" applyAlignment="1">
      <alignment horizontal="center" vertical="center"/>
    </xf>
    <xf numFmtId="44" fontId="8" fillId="0" borderId="1" xfId="59" applyNumberFormat="1" applyFont="1" applyFill="1" applyBorder="1" applyAlignment="1">
      <alignment horizontal="center" vertical="center"/>
    </xf>
    <xf numFmtId="168" fontId="26" fillId="0" borderId="0" xfId="59" applyNumberFormat="1" applyFont="1" applyAlignment="1">
      <alignment vertical="center"/>
    </xf>
    <xf numFmtId="9" fontId="8" fillId="0" borderId="1" xfId="6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44" fontId="2" fillId="2" borderId="1" xfId="59" applyNumberFormat="1" applyFont="1" applyFill="1" applyBorder="1" applyAlignment="1">
      <alignment horizontal="center" vertical="center"/>
    </xf>
    <xf numFmtId="44" fontId="8" fillId="0" borderId="1" xfId="8" applyNumberFormat="1" applyFont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2" borderId="15" xfId="0" applyNumberFormat="1" applyFont="1" applyFill="1" applyBorder="1" applyAlignment="1">
      <alignment vertical="center"/>
    </xf>
    <xf numFmtId="10" fontId="8" fillId="0" borderId="1" xfId="59" applyNumberFormat="1" applyFont="1" applyFill="1" applyBorder="1" applyAlignment="1">
      <alignment horizontal="center" vertical="center"/>
    </xf>
    <xf numFmtId="9" fontId="8" fillId="0" borderId="1" xfId="59" applyNumberFormat="1" applyFont="1" applyFill="1" applyBorder="1" applyAlignment="1">
      <alignment horizontal="center" vertical="center"/>
    </xf>
    <xf numFmtId="168" fontId="5" fillId="0" borderId="0" xfId="59" applyNumberFormat="1" applyFont="1" applyAlignment="1">
      <alignment horizontal="center" vertical="center"/>
    </xf>
    <xf numFmtId="168" fontId="5" fillId="0" borderId="0" xfId="2" applyNumberFormat="1" applyFont="1" applyAlignment="1">
      <alignment vertical="center"/>
    </xf>
    <xf numFmtId="168" fontId="3" fillId="0" borderId="0" xfId="2" applyNumberFormat="1"/>
    <xf numFmtId="44" fontId="8" fillId="0" borderId="1" xfId="8" applyNumberFormat="1" applyFont="1" applyFill="1" applyBorder="1" applyAlignment="1">
      <alignment horizontal="center" vertical="center"/>
    </xf>
    <xf numFmtId="43" fontId="3" fillId="0" borderId="0" xfId="59" applyFont="1" applyAlignment="1">
      <alignment vertical="center"/>
    </xf>
    <xf numFmtId="43" fontId="5" fillId="0" borderId="0" xfId="59" applyFont="1" applyAlignment="1">
      <alignment vertical="center"/>
    </xf>
    <xf numFmtId="8" fontId="0" fillId="0" borderId="0" xfId="0" applyNumberFormat="1"/>
    <xf numFmtId="0" fontId="3" fillId="0" borderId="0" xfId="2" applyAlignment="1">
      <alignment horizontal="center" vertical="center" wrapText="1"/>
    </xf>
    <xf numFmtId="43" fontId="5" fillId="0" borderId="0" xfId="2" applyNumberFormat="1" applyFont="1" applyAlignment="1">
      <alignment vertical="center"/>
    </xf>
    <xf numFmtId="168" fontId="8" fillId="0" borderId="1" xfId="60" applyNumberFormat="1" applyFont="1" applyFill="1" applyBorder="1" applyAlignment="1">
      <alignment horizontal="center" vertical="center"/>
    </xf>
    <xf numFmtId="168" fontId="28" fillId="0" borderId="1" xfId="60" applyNumberFormat="1" applyFont="1" applyFill="1" applyBorder="1" applyAlignment="1">
      <alignment horizontal="center" vertical="center"/>
    </xf>
    <xf numFmtId="0" fontId="29" fillId="2" borderId="1" xfId="2" applyFont="1" applyFill="1" applyBorder="1" applyAlignment="1">
      <alignment horizontal="centerContinuous"/>
    </xf>
    <xf numFmtId="43" fontId="30" fillId="0" borderId="0" xfId="2" applyNumberFormat="1" applyFont="1" applyAlignment="1">
      <alignment vertical="center"/>
    </xf>
    <xf numFmtId="44" fontId="3" fillId="0" borderId="0" xfId="2" applyNumberFormat="1"/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3" fillId="0" borderId="0" xfId="2" applyAlignment="1">
      <alignment horizontal="justify" vertical="center" wrapText="1"/>
    </xf>
    <xf numFmtId="0" fontId="3" fillId="0" borderId="0" xfId="2" applyAlignment="1">
      <alignment horizontal="center" vertical="center" wrapText="1"/>
    </xf>
  </cellXfs>
  <cellStyles count="61">
    <cellStyle name="20% - Ênfase1" xfId="26" builtinId="30" customBuiltin="1"/>
    <cellStyle name="20% - Ênfase2" xfId="29" builtinId="34" customBuiltin="1"/>
    <cellStyle name="20% - Ênfase3" xfId="32" builtinId="38" customBuiltin="1"/>
    <cellStyle name="20% - Ênfase4" xfId="35" builtinId="42" customBuiltin="1"/>
    <cellStyle name="20% - Ênfase5" xfId="38" builtinId="46" customBuiltin="1"/>
    <cellStyle name="20% - Ênfase6" xfId="41" builtinId="50" customBuiltin="1"/>
    <cellStyle name="40% - Ênfase1" xfId="27" builtinId="31" customBuiltin="1"/>
    <cellStyle name="40% - Ênfase2" xfId="30" builtinId="35" customBuiltin="1"/>
    <cellStyle name="40% - Ênfase3" xfId="33" builtinId="39" customBuiltin="1"/>
    <cellStyle name="40% - Ênfase4" xfId="36" builtinId="43" customBuiltin="1"/>
    <cellStyle name="40% - Ênfase5" xfId="39" builtinId="47" customBuiltin="1"/>
    <cellStyle name="40% - Ênfase6" xfId="42" builtinId="51" customBuiltin="1"/>
    <cellStyle name="60% - Ênfase1 2" xfId="53" xr:uid="{DF05B478-FE55-4B8D-99EB-2173CE8A1424}"/>
    <cellStyle name="60% - Ênfase2 2" xfId="54" xr:uid="{CAEBD8AC-1043-4BAE-A1B0-C0EC38B34ED2}"/>
    <cellStyle name="60% - Ênfase3 2" xfId="55" xr:uid="{3F46C421-6A6E-4E8D-92FF-EAEE050ABD0B}"/>
    <cellStyle name="60% - Ênfase4 2" xfId="56" xr:uid="{52A974E5-EB9D-4976-A959-3F1913911261}"/>
    <cellStyle name="60% - Ênfase5 2" xfId="57" xr:uid="{AB262863-D5F5-497C-A594-659C007A1650}"/>
    <cellStyle name="60% - Ênfase6 2" xfId="58" xr:uid="{3DDD8295-AE55-45D7-B4C0-C9911A789C51}"/>
    <cellStyle name="Bom" xfId="14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8" builtinId="33" customBuiltin="1"/>
    <cellStyle name="Ênfase3" xfId="31" builtinId="37" customBuiltin="1"/>
    <cellStyle name="Ênfase4" xfId="34" builtinId="41" customBuiltin="1"/>
    <cellStyle name="Ênfase5" xfId="37" builtinId="45" customBuiltin="1"/>
    <cellStyle name="Ênfase6" xfId="40" builtinId="49" customBuiltin="1"/>
    <cellStyle name="Entrada" xfId="16" builtinId="20" customBuiltin="1"/>
    <cellStyle name="Hiperlink" xfId="1" builtinId="8"/>
    <cellStyle name="Hiperlink 2" xfId="51" xr:uid="{CC39C8A6-82A4-44FE-81E1-BCC1D227C1B8}"/>
    <cellStyle name="Moeda" xfId="8" builtinId="4"/>
    <cellStyle name="Moeda 2" xfId="5" xr:uid="{06C38AD0-95FE-42D7-9912-B4D3D26EE869}"/>
    <cellStyle name="Moeda 3" xfId="3" xr:uid="{1004C196-C962-4C98-A168-A20267D8A0BC}"/>
    <cellStyle name="Moeda 4" xfId="43" xr:uid="{BDA1A352-48BB-4E2B-B4AA-95C2C3B732C7}"/>
    <cellStyle name="Neutro 2" xfId="52" xr:uid="{9F84F6D4-7B8A-43A4-BD46-4DEEA82AFEBA}"/>
    <cellStyle name="Normal" xfId="0" builtinId="0"/>
    <cellStyle name="Normal 2" xfId="44" xr:uid="{5C9EC1F4-36E0-45A6-9107-DE9EE44E9192}"/>
    <cellStyle name="Normal 3" xfId="50" xr:uid="{6C6B8E03-C0C8-4236-BBDB-5D0D3AC09864}"/>
    <cellStyle name="Normal 3 2" xfId="2" xr:uid="{136BCB82-290C-4C77-8466-1D29BAF13FD7}"/>
    <cellStyle name="Normal 4" xfId="49" xr:uid="{19915D95-51A3-43B4-95C5-D8E28C1A2540}"/>
    <cellStyle name="Normal 4 2" xfId="48" xr:uid="{4789F7FC-74A6-4DC7-B0C3-A5EC67CDBD2C}"/>
    <cellStyle name="Normal 5" xfId="6" xr:uid="{15727398-2DBB-4D9E-B203-5E0BC5E0EB37}"/>
    <cellStyle name="Nota" xfId="22" builtinId="10" customBuiltin="1"/>
    <cellStyle name="Porcentagem" xfId="60" builtinId="5"/>
    <cellStyle name="Porcentagem 2" xfId="45" xr:uid="{554B9E2B-DF32-42A4-8C02-8019EE995365}"/>
    <cellStyle name="Ruim" xfId="15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59" builtinId="3"/>
    <cellStyle name="Vírgula 2" xfId="7" xr:uid="{FC3524F9-0811-42DC-8C53-8678E44B3649}"/>
    <cellStyle name="Vírgula 2 2" xfId="46" xr:uid="{251A9DC4-9AB0-44AA-AC90-FE0F5C60A55C}"/>
    <cellStyle name="Vírgula 3" xfId="4" xr:uid="{1429BB7D-599C-4EB5-972C-E429AB060D4C}"/>
    <cellStyle name="Vírgula 4" xfId="47" xr:uid="{DEDDEE87-C4A7-40A4-86BA-1B6B5565369D}"/>
  </cellStyles>
  <dxfs count="1">
    <dxf>
      <font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6FCB68F-4869-4CC6-816A-9587EF3AE5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103751</xdr:rowOff>
    </xdr:from>
    <xdr:to>
      <xdr:col>2</xdr:col>
      <xdr:colOff>1146810</xdr:colOff>
      <xdr:row>2</xdr:row>
      <xdr:rowOff>186650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95E7A9-D93F-45C1-A1B1-2F3FA26B7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294251"/>
          <a:ext cx="2400299" cy="3629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11089</xdr:colOff>
      <xdr:row>30</xdr:row>
      <xdr:rowOff>104774</xdr:rowOff>
    </xdr:from>
    <xdr:to>
      <xdr:col>5</xdr:col>
      <xdr:colOff>1214438</xdr:colOff>
      <xdr:row>53</xdr:row>
      <xdr:rowOff>114299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8C00E6A-8FAA-4B38-9B17-72CFEC70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739" y="7038974"/>
          <a:ext cx="5692164" cy="381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2.aneel.gov.br/cedoc/rea20187385ti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2.aneel.gov.br/cedoc/rea20187408ti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2.aneel.gov.br/cedoc/rea20187409ti.pdf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4296-4D15-4AD7-8D9F-3DBA6C145F80}">
  <dimension ref="B2:K51"/>
  <sheetViews>
    <sheetView showGridLines="0" tabSelected="1" zoomScale="90" zoomScaleNormal="90" workbookViewId="0">
      <pane xSplit="2" ySplit="7" topLeftCell="C32" activePane="bottomRight" state="frozen"/>
      <selection pane="topRight" activeCell="C1" sqref="C1"/>
      <selection pane="bottomLeft" activeCell="A9" sqref="A9"/>
      <selection pane="bottomRight"/>
    </sheetView>
  </sheetViews>
  <sheetFormatPr defaultRowHeight="15" x14ac:dyDescent="0.25"/>
  <cols>
    <col min="1" max="1" width="2.85546875" customWidth="1"/>
    <col min="2" max="2" width="19.85546875" bestFit="1" customWidth="1"/>
    <col min="3" max="3" width="19.42578125" bestFit="1" customWidth="1"/>
    <col min="4" max="4" width="18.85546875" customWidth="1"/>
    <col min="5" max="5" width="19.42578125" bestFit="1" customWidth="1"/>
    <col min="6" max="8" width="18.85546875" customWidth="1"/>
    <col min="9" max="9" width="22.85546875" customWidth="1"/>
    <col min="11" max="11" width="13" bestFit="1" customWidth="1"/>
  </cols>
  <sheetData>
    <row r="2" spans="2:9" ht="23.25" x14ac:dyDescent="0.25">
      <c r="I2" s="17" t="s">
        <v>48</v>
      </c>
    </row>
    <row r="3" spans="2:9" ht="23.25" x14ac:dyDescent="0.25">
      <c r="I3" s="17" t="s">
        <v>4</v>
      </c>
    </row>
    <row r="5" spans="2:9" ht="21" customHeight="1" x14ac:dyDescent="0.25">
      <c r="B5" s="52" t="s">
        <v>28</v>
      </c>
      <c r="C5" s="30" t="s">
        <v>45</v>
      </c>
      <c r="D5" s="30" t="s">
        <v>44</v>
      </c>
      <c r="E5" s="30" t="s">
        <v>46</v>
      </c>
      <c r="F5" s="31" t="s">
        <v>47</v>
      </c>
      <c r="G5" s="31"/>
      <c r="H5" s="31"/>
      <c r="I5" s="53" t="s">
        <v>50</v>
      </c>
    </row>
    <row r="6" spans="2:9" ht="21" customHeight="1" x14ac:dyDescent="0.25">
      <c r="B6" s="52"/>
      <c r="C6" s="30" t="s">
        <v>25</v>
      </c>
      <c r="D6" s="30" t="s">
        <v>26</v>
      </c>
      <c r="E6" s="30" t="s">
        <v>27</v>
      </c>
      <c r="F6" s="30" t="s">
        <v>31</v>
      </c>
      <c r="G6" s="30" t="s">
        <v>32</v>
      </c>
      <c r="H6" s="30" t="s">
        <v>29</v>
      </c>
      <c r="I6" s="54"/>
    </row>
    <row r="7" spans="2:9" ht="21" customHeight="1" x14ac:dyDescent="0.25">
      <c r="B7" s="30" t="s">
        <v>49</v>
      </c>
      <c r="C7" s="32">
        <f>REA_7385!D5</f>
        <v>119441737.31999999</v>
      </c>
      <c r="D7" s="32">
        <f>REA_7408!D6</f>
        <v>51560887.630000003</v>
      </c>
      <c r="E7" s="32">
        <f>REA_7409!D6</f>
        <v>210931072.41</v>
      </c>
      <c r="F7" s="32">
        <f>REA_10630!E6</f>
        <v>52628710.630000003</v>
      </c>
      <c r="G7" s="32">
        <f>REA_10630!E7</f>
        <v>82211193.420000002</v>
      </c>
      <c r="H7" s="32">
        <f>REA_10630!E8</f>
        <v>57105364.030000001</v>
      </c>
      <c r="I7" s="55"/>
    </row>
    <row r="8" spans="2:9" x14ac:dyDescent="0.25">
      <c r="B8" s="18">
        <v>43677</v>
      </c>
      <c r="C8" s="33">
        <f>SUMIF(REA_7385!$D:$D,"&lt;="&amp;$B8,REA_7385!$K:$K)</f>
        <v>9111611.8399999999</v>
      </c>
      <c r="D8" s="33">
        <f>SUMIF(REA_7408!$D:$D,"&lt;="&amp;$B8,REA_7408!$R:$R)</f>
        <v>0</v>
      </c>
      <c r="E8" s="33">
        <f>SUMIF(REA_7409!$D:$D,"&lt;="&amp;$B8,REA_7409!$V:$V)</f>
        <v>0</v>
      </c>
      <c r="F8" s="33">
        <f>SUMIFS(REA_10630!$H:$H,REA_10630!$C:$C,"&lt;="&amp;$B8,REA_10630!$D:$D,F$6)</f>
        <v>0</v>
      </c>
      <c r="G8" s="33">
        <f>SUMIFS(REA_10630!$H:$H,REA_10630!$C:$C,"&lt;="&amp;$B8,REA_10630!$D:$D,G$6)</f>
        <v>0</v>
      </c>
      <c r="H8" s="33">
        <f>SUMIFS(REA_10630!$H:$H,REA_10630!$C:$C,"&lt;="&amp;$B8,REA_10630!$D:$D,H$6)</f>
        <v>0</v>
      </c>
      <c r="I8" s="33">
        <f t="shared" ref="I8:I23" si="0">SUM(C8:C8)</f>
        <v>9111611.8399999999</v>
      </c>
    </row>
    <row r="9" spans="2:9" x14ac:dyDescent="0.25">
      <c r="B9" s="18">
        <v>43708</v>
      </c>
      <c r="C9" s="33">
        <f>SUMIF(REA_7385!$D:$D,"&lt;="&amp;$B9,REA_7385!$K:$K)-SUM(C$8:C8)</f>
        <v>0</v>
      </c>
      <c r="D9" s="33">
        <f>SUMIF(REA_7408!$D:$D,"&lt;="&amp;$B9,REA_7408!$R:$R)-SUM(D$8:D8)</f>
        <v>0</v>
      </c>
      <c r="E9" s="33">
        <f>SUMIF(REA_7409!$D:$D,"&lt;="&amp;$B9,REA_7409!$V:$V)-SUM(E$8:E8)</f>
        <v>0</v>
      </c>
      <c r="F9" s="33">
        <f>SUMIFS(REA_10630!$H:$H,REA_10630!$C:$C,"&lt;="&amp;$B9,REA_10630!$D:$D,F$6)-SUM(F$8:F8)</f>
        <v>0</v>
      </c>
      <c r="G9" s="33">
        <f>SUMIFS(REA_10630!$H:$H,REA_10630!$C:$C,"&lt;="&amp;$B9,REA_10630!$D:$D,G$6)-SUM(G$8:G8)</f>
        <v>0</v>
      </c>
      <c r="H9" s="33">
        <f>SUMIFS(REA_10630!$H:$H,REA_10630!$C:$C,"&lt;="&amp;$B9,REA_10630!$D:$D,H$6)-SUM(H$8:H8)</f>
        <v>0</v>
      </c>
      <c r="I9" s="33">
        <f t="shared" si="0"/>
        <v>0</v>
      </c>
    </row>
    <row r="10" spans="2:9" x14ac:dyDescent="0.25">
      <c r="B10" s="18">
        <v>43738</v>
      </c>
      <c r="C10" s="33">
        <f>SUMIF(REA_7385!$D:$D,"&lt;="&amp;$B10,REA_7385!$K:$K)-SUM(C$8:C9)</f>
        <v>846795.94999999925</v>
      </c>
      <c r="D10" s="33">
        <f>SUMIF(REA_7408!$D:$D,"&lt;="&amp;$B10,REA_7408!$R:$R)-SUM(D$8:D9)</f>
        <v>0</v>
      </c>
      <c r="E10" s="33">
        <f>SUMIF(REA_7409!$D:$D,"&lt;="&amp;$B10,REA_7409!$V:$V)-SUM(E$8:E9)</f>
        <v>0</v>
      </c>
      <c r="F10" s="33">
        <f>SUMIFS(REA_10630!$H:$H,REA_10630!$C:$C,"&lt;="&amp;$B10,REA_10630!$D:$D,F$6)-SUM(F$8:F9)</f>
        <v>0</v>
      </c>
      <c r="G10" s="33">
        <f>SUMIFS(REA_10630!$H:$H,REA_10630!$C:$C,"&lt;="&amp;$B10,REA_10630!$D:$D,G$6)-SUM(G$8:G9)</f>
        <v>0</v>
      </c>
      <c r="H10" s="33">
        <f>SUMIFS(REA_10630!$H:$H,REA_10630!$C:$C,"&lt;="&amp;$B10,REA_10630!$D:$D,H$6)-SUM(H$8:H9)</f>
        <v>0</v>
      </c>
      <c r="I10" s="33">
        <f t="shared" si="0"/>
        <v>846795.94999999925</v>
      </c>
    </row>
    <row r="11" spans="2:9" x14ac:dyDescent="0.25">
      <c r="B11" s="18">
        <v>43769</v>
      </c>
      <c r="C11" s="33">
        <f>SUMIF(REA_7385!$D:$D,"&lt;="&amp;$B11,REA_7385!$K:$K)-SUM(C$8:C10)</f>
        <v>4696589.76</v>
      </c>
      <c r="D11" s="33">
        <f>SUMIF(REA_7408!$D:$D,"&lt;="&amp;$B11,REA_7408!$R:$R)-SUM(D$8:D10)</f>
        <v>0</v>
      </c>
      <c r="E11" s="33">
        <f>SUMIF(REA_7409!$D:$D,"&lt;="&amp;$B11,REA_7409!$V:$V)-SUM(E$8:E10)</f>
        <v>0</v>
      </c>
      <c r="F11" s="33">
        <f>SUMIFS(REA_10630!$H:$H,REA_10630!$C:$C,"&lt;="&amp;$B11,REA_10630!$D:$D,F$6)-SUM(F$8:F10)</f>
        <v>0</v>
      </c>
      <c r="G11" s="33">
        <f>SUMIFS(REA_10630!$H:$H,REA_10630!$C:$C,"&lt;="&amp;$B11,REA_10630!$D:$D,G$6)-SUM(G$8:G10)</f>
        <v>0</v>
      </c>
      <c r="H11" s="33">
        <f>SUMIFS(REA_10630!$H:$H,REA_10630!$C:$C,"&lt;="&amp;$B11,REA_10630!$D:$D,H$6)-SUM(H$8:H10)</f>
        <v>0</v>
      </c>
      <c r="I11" s="33">
        <f t="shared" si="0"/>
        <v>4696589.76</v>
      </c>
    </row>
    <row r="12" spans="2:9" x14ac:dyDescent="0.25">
      <c r="B12" s="18">
        <v>43799</v>
      </c>
      <c r="C12" s="33">
        <f>SUMIF(REA_7385!$D:$D,"&lt;="&amp;$B12,REA_7385!$K:$K)-SUM(C$8:C11)</f>
        <v>0</v>
      </c>
      <c r="D12" s="33">
        <f>SUMIF(REA_7408!$D:$D,"&lt;="&amp;$B12,REA_7408!$R:$R)-SUM(D$8:D11)</f>
        <v>0</v>
      </c>
      <c r="E12" s="33">
        <f>SUMIF(REA_7409!$D:$D,"&lt;="&amp;$B12,REA_7409!$V:$V)-SUM(E$8:E11)</f>
        <v>0</v>
      </c>
      <c r="F12" s="33">
        <f>SUMIFS(REA_10630!$H:$H,REA_10630!$C:$C,"&lt;="&amp;$B12,REA_10630!$D:$D,F$6)-SUM(F$8:F11)</f>
        <v>0</v>
      </c>
      <c r="G12" s="33">
        <f>SUMIFS(REA_10630!$H:$H,REA_10630!$C:$C,"&lt;="&amp;$B12,REA_10630!$D:$D,G$6)-SUM(G$8:G11)</f>
        <v>0</v>
      </c>
      <c r="H12" s="33">
        <f>SUMIFS(REA_10630!$H:$H,REA_10630!$C:$C,"&lt;="&amp;$B12,REA_10630!$D:$D,H$6)-SUM(H$8:H11)</f>
        <v>0</v>
      </c>
      <c r="I12" s="33">
        <f t="shared" si="0"/>
        <v>0</v>
      </c>
    </row>
    <row r="13" spans="2:9" x14ac:dyDescent="0.25">
      <c r="B13" s="18">
        <v>43830</v>
      </c>
      <c r="C13" s="33">
        <f>SUMIF(REA_7385!$D:$D,"&lt;="&amp;$B13,REA_7385!$K:$K)-SUM(C$8:C12)</f>
        <v>4086053.3499999996</v>
      </c>
      <c r="D13" s="33">
        <f>SUMIF(REA_7408!$D:$D,"&lt;="&amp;$B13,REA_7408!$R:$R)-SUM(D$8:D12)</f>
        <v>0</v>
      </c>
      <c r="E13" s="33">
        <f>SUMIF(REA_7409!$D:$D,"&lt;="&amp;$B13,REA_7409!$V:$V)-SUM(E$8:E12)</f>
        <v>0</v>
      </c>
      <c r="F13" s="33">
        <f>SUMIFS(REA_10630!$H:$H,REA_10630!$C:$C,"&lt;="&amp;$B13,REA_10630!$D:$D,F$6)-SUM(F$8:F12)</f>
        <v>0</v>
      </c>
      <c r="G13" s="33">
        <f>SUMIFS(REA_10630!$H:$H,REA_10630!$C:$C,"&lt;="&amp;$B13,REA_10630!$D:$D,G$6)-SUM(G$8:G12)</f>
        <v>0</v>
      </c>
      <c r="H13" s="33">
        <f>SUMIFS(REA_10630!$H:$H,REA_10630!$C:$C,"&lt;="&amp;$B13,REA_10630!$D:$D,H$6)-SUM(H$8:H12)</f>
        <v>0</v>
      </c>
      <c r="I13" s="33">
        <f t="shared" si="0"/>
        <v>4086053.3499999996</v>
      </c>
    </row>
    <row r="14" spans="2:9" x14ac:dyDescent="0.25">
      <c r="B14" s="18">
        <v>43861</v>
      </c>
      <c r="C14" s="33">
        <f>SUMIF(REA_7385!$D:$D,"&lt;="&amp;$B14,REA_7385!$K:$K)-SUM(C$8:C13)</f>
        <v>0</v>
      </c>
      <c r="D14" s="33">
        <f>SUMIF(REA_7408!$D:$D,"&lt;="&amp;$B14,REA_7408!$R:$R)-SUM(D$8:D13)</f>
        <v>0</v>
      </c>
      <c r="E14" s="33">
        <f>SUMIF(REA_7409!$D:$D,"&lt;="&amp;$B14,REA_7409!$V:$V)-SUM(E$8:E13)</f>
        <v>0</v>
      </c>
      <c r="F14" s="33">
        <f>SUMIFS(REA_10630!$H:$H,REA_10630!$C:$C,"&lt;="&amp;$B14,REA_10630!$D:$D,F$6)-SUM(F$8:F13)</f>
        <v>0</v>
      </c>
      <c r="G14" s="33">
        <f>SUMIFS(REA_10630!$H:$H,REA_10630!$C:$C,"&lt;="&amp;$B14,REA_10630!$D:$D,G$6)-SUM(G$8:G13)</f>
        <v>0</v>
      </c>
      <c r="H14" s="33">
        <f>SUMIFS(REA_10630!$H:$H,REA_10630!$C:$C,"&lt;="&amp;$B14,REA_10630!$D:$D,H$6)-SUM(H$8:H13)</f>
        <v>0</v>
      </c>
      <c r="I14" s="33">
        <f t="shared" si="0"/>
        <v>0</v>
      </c>
    </row>
    <row r="15" spans="2:9" x14ac:dyDescent="0.25">
      <c r="B15" s="18">
        <v>43890</v>
      </c>
      <c r="C15" s="33">
        <f>SUMIF(REA_7385!$D:$D,"&lt;="&amp;$B15,REA_7385!$K:$K)-SUM(C$8:C14)</f>
        <v>4787132.0199999996</v>
      </c>
      <c r="D15" s="33">
        <f>SUMIF(REA_7408!$D:$D,"&lt;="&amp;$B15,REA_7408!$R:$R)-SUM(D$8:D14)</f>
        <v>0</v>
      </c>
      <c r="E15" s="33">
        <f>SUMIF(REA_7409!$D:$D,"&lt;="&amp;$B15,REA_7409!$V:$V)-SUM(E$8:E14)</f>
        <v>0</v>
      </c>
      <c r="F15" s="33">
        <f>SUMIFS(REA_10630!$H:$H,REA_10630!$C:$C,"&lt;="&amp;$B15,REA_10630!$D:$D,F$6)-SUM(F$8:F14)</f>
        <v>0</v>
      </c>
      <c r="G15" s="33">
        <f>SUMIFS(REA_10630!$H:$H,REA_10630!$C:$C,"&lt;="&amp;$B15,REA_10630!$D:$D,G$6)-SUM(G$8:G14)</f>
        <v>0</v>
      </c>
      <c r="H15" s="33">
        <f>SUMIFS(REA_10630!$H:$H,REA_10630!$C:$C,"&lt;="&amp;$B15,REA_10630!$D:$D,H$6)-SUM(H$8:H14)</f>
        <v>0</v>
      </c>
      <c r="I15" s="33">
        <f t="shared" si="0"/>
        <v>4787132.0199999996</v>
      </c>
    </row>
    <row r="16" spans="2:9" x14ac:dyDescent="0.25">
      <c r="B16" s="18">
        <v>43921</v>
      </c>
      <c r="C16" s="33">
        <f>SUMIF(REA_7385!$D:$D,"&lt;="&amp;$B16,REA_7385!$K:$K)-SUM(C$8:C15)</f>
        <v>4381994.7800000049</v>
      </c>
      <c r="D16" s="33">
        <f>SUMIF(REA_7408!$D:$D,"&lt;="&amp;$B16,REA_7408!$R:$R)-SUM(D$8:D15)</f>
        <v>0</v>
      </c>
      <c r="E16" s="33">
        <f>SUMIF(REA_7409!$D:$D,"&lt;="&amp;$B16,REA_7409!$V:$V)-SUM(E$8:E15)</f>
        <v>0</v>
      </c>
      <c r="F16" s="33">
        <f>SUMIFS(REA_10630!$H:$H,REA_10630!$C:$C,"&lt;="&amp;$B16,REA_10630!$D:$D,F$6)-SUM(F$8:F15)</f>
        <v>0</v>
      </c>
      <c r="G16" s="33">
        <f>SUMIFS(REA_10630!$H:$H,REA_10630!$C:$C,"&lt;="&amp;$B16,REA_10630!$D:$D,G$6)-SUM(G$8:G15)</f>
        <v>0</v>
      </c>
      <c r="H16" s="33">
        <f>SUMIFS(REA_10630!$H:$H,REA_10630!$C:$C,"&lt;="&amp;$B16,REA_10630!$D:$D,H$6)-SUM(H$8:H15)</f>
        <v>0</v>
      </c>
      <c r="I16" s="33">
        <f t="shared" si="0"/>
        <v>4381994.7800000049</v>
      </c>
    </row>
    <row r="17" spans="2:9" x14ac:dyDescent="0.25">
      <c r="B17" s="18">
        <v>43951</v>
      </c>
      <c r="C17" s="33">
        <f>SUMIF(REA_7385!$D:$D,"&lt;="&amp;$B17,REA_7385!$K:$K)-SUM(C$8:C16)</f>
        <v>11068532.630000003</v>
      </c>
      <c r="D17" s="33">
        <f>SUMIF(REA_7408!$D:$D,"&lt;="&amp;$B17,REA_7408!$R:$R)-SUM(D$8:D16)</f>
        <v>0</v>
      </c>
      <c r="E17" s="33">
        <f>SUMIF(REA_7409!$D:$D,"&lt;="&amp;$B17,REA_7409!$V:$V)-SUM(E$8:E16)</f>
        <v>0</v>
      </c>
      <c r="F17" s="33">
        <f>SUMIFS(REA_10630!$H:$H,REA_10630!$C:$C,"&lt;="&amp;$B17,REA_10630!$D:$D,F$6)-SUM(F$8:F16)</f>
        <v>0</v>
      </c>
      <c r="G17" s="33">
        <f>SUMIFS(REA_10630!$H:$H,REA_10630!$C:$C,"&lt;="&amp;$B17,REA_10630!$D:$D,G$6)-SUM(G$8:G16)</f>
        <v>0</v>
      </c>
      <c r="H17" s="33">
        <f>SUMIFS(REA_10630!$H:$H,REA_10630!$C:$C,"&lt;="&amp;$B17,REA_10630!$D:$D,H$6)-SUM(H$8:H16)</f>
        <v>0</v>
      </c>
      <c r="I17" s="33">
        <f t="shared" si="0"/>
        <v>11068532.630000003</v>
      </c>
    </row>
    <row r="18" spans="2:9" x14ac:dyDescent="0.25">
      <c r="B18" s="18">
        <v>43982</v>
      </c>
      <c r="C18" s="33">
        <f>SUMIF(REA_7385!$D:$D,"&lt;="&amp;$B18,REA_7385!$K:$K)-SUM(C$8:C17)</f>
        <v>2668206.3099999949</v>
      </c>
      <c r="D18" s="33">
        <f>SUMIF(REA_7408!$D:$D,"&lt;="&amp;$B18,REA_7408!$R:$R)-SUM(D$8:D17)</f>
        <v>0</v>
      </c>
      <c r="E18" s="33">
        <f>SUMIF(REA_7409!$D:$D,"&lt;="&amp;$B18,REA_7409!$V:$V)-SUM(E$8:E17)</f>
        <v>0</v>
      </c>
      <c r="F18" s="33">
        <f>SUMIFS(REA_10630!$H:$H,REA_10630!$C:$C,"&lt;="&amp;$B18,REA_10630!$D:$D,F$6)-SUM(F$8:F17)</f>
        <v>0</v>
      </c>
      <c r="G18" s="33">
        <f>SUMIFS(REA_10630!$H:$H,REA_10630!$C:$C,"&lt;="&amp;$B18,REA_10630!$D:$D,G$6)-SUM(G$8:G17)</f>
        <v>0</v>
      </c>
      <c r="H18" s="33">
        <f>SUMIFS(REA_10630!$H:$H,REA_10630!$C:$C,"&lt;="&amp;$B18,REA_10630!$D:$D,H$6)-SUM(H$8:H17)</f>
        <v>0</v>
      </c>
      <c r="I18" s="33">
        <f t="shared" si="0"/>
        <v>2668206.3099999949</v>
      </c>
    </row>
    <row r="19" spans="2:9" x14ac:dyDescent="0.25">
      <c r="B19" s="18">
        <v>44012</v>
      </c>
      <c r="C19" s="33">
        <f>SUMIF(REA_7385!$D:$D,"&lt;="&amp;$B19,REA_7385!$K:$K)-SUM(C$8:C18)</f>
        <v>9077708.2199999988</v>
      </c>
      <c r="D19" s="33">
        <f>SUMIF(REA_7408!$D:$D,"&lt;="&amp;$B19,REA_7408!$R:$R)-SUM(D$8:D18)</f>
        <v>0</v>
      </c>
      <c r="E19" s="33">
        <f>SUMIF(REA_7409!$D:$D,"&lt;="&amp;$B19,REA_7409!$V:$V)-SUM(E$8:E18)</f>
        <v>0</v>
      </c>
      <c r="F19" s="33">
        <f>SUMIFS(REA_10630!$H:$H,REA_10630!$C:$C,"&lt;="&amp;$B19,REA_10630!$D:$D,F$6)-SUM(F$8:F18)</f>
        <v>0</v>
      </c>
      <c r="G19" s="33">
        <f>SUMIFS(REA_10630!$H:$H,REA_10630!$C:$C,"&lt;="&amp;$B19,REA_10630!$D:$D,G$6)-SUM(G$8:G18)</f>
        <v>0</v>
      </c>
      <c r="H19" s="33">
        <f>SUMIFS(REA_10630!$H:$H,REA_10630!$C:$C,"&lt;="&amp;$B19,REA_10630!$D:$D,H$6)-SUM(H$8:H18)</f>
        <v>0</v>
      </c>
      <c r="I19" s="33">
        <f t="shared" si="0"/>
        <v>9077708.2199999988</v>
      </c>
    </row>
    <row r="20" spans="2:9" x14ac:dyDescent="0.25">
      <c r="B20" s="18">
        <v>44043</v>
      </c>
      <c r="C20" s="33">
        <f>SUMIF(REA_7385!$D:$D,"&lt;="&amp;$B20,REA_7385!$K:$K)-SUM(C$8:C19)</f>
        <v>2948475.650000006</v>
      </c>
      <c r="D20" s="33">
        <f>SUMIF(REA_7408!$D:$D,"&lt;="&amp;$B20,REA_7408!$R:$R)-SUM(D$8:D19)</f>
        <v>0</v>
      </c>
      <c r="E20" s="33">
        <f>SUMIF(REA_7409!$D:$D,"&lt;="&amp;$B20,REA_7409!$V:$V)-SUM(E$8:E19)</f>
        <v>0</v>
      </c>
      <c r="F20" s="33">
        <f>SUMIFS(REA_10630!$H:$H,REA_10630!$C:$C,"&lt;="&amp;$B20,REA_10630!$D:$D,F$6)-SUM(F$8:F19)</f>
        <v>0</v>
      </c>
      <c r="G20" s="33">
        <f>SUMIFS(REA_10630!$H:$H,REA_10630!$C:$C,"&lt;="&amp;$B20,REA_10630!$D:$D,G$6)-SUM(G$8:G19)</f>
        <v>0</v>
      </c>
      <c r="H20" s="33">
        <f>SUMIFS(REA_10630!$H:$H,REA_10630!$C:$C,"&lt;="&amp;$B20,REA_10630!$D:$D,H$6)-SUM(H$8:H19)</f>
        <v>0</v>
      </c>
      <c r="I20" s="33">
        <f t="shared" si="0"/>
        <v>2948475.650000006</v>
      </c>
    </row>
    <row r="21" spans="2:9" x14ac:dyDescent="0.25">
      <c r="B21" s="18">
        <v>44074</v>
      </c>
      <c r="C21" s="33">
        <f>SUMIF(REA_7385!$D:$D,"&lt;="&amp;$B21,REA_7385!$K:$K)-SUM(C$8:C20)</f>
        <v>2886371.5799999982</v>
      </c>
      <c r="D21" s="33">
        <f>SUMIF(REA_7408!$D:$D,"&lt;="&amp;$B21,REA_7408!$R:$R)-SUM(D$8:D20)</f>
        <v>0</v>
      </c>
      <c r="E21" s="33">
        <f>SUMIF(REA_7409!$D:$D,"&lt;="&amp;$B21,REA_7409!$V:$V)-SUM(E$8:E20)</f>
        <v>0</v>
      </c>
      <c r="F21" s="33">
        <f>SUMIFS(REA_10630!$H:$H,REA_10630!$C:$C,"&lt;="&amp;$B21,REA_10630!$D:$D,F$6)-SUM(F$8:F20)</f>
        <v>0</v>
      </c>
      <c r="G21" s="33">
        <f>SUMIFS(REA_10630!$H:$H,REA_10630!$C:$C,"&lt;="&amp;$B21,REA_10630!$D:$D,G$6)-SUM(G$8:G20)</f>
        <v>0</v>
      </c>
      <c r="H21" s="33">
        <f>SUMIFS(REA_10630!$H:$H,REA_10630!$C:$C,"&lt;="&amp;$B21,REA_10630!$D:$D,H$6)-SUM(H$8:H20)</f>
        <v>0</v>
      </c>
      <c r="I21" s="33">
        <f t="shared" si="0"/>
        <v>2886371.5799999982</v>
      </c>
    </row>
    <row r="22" spans="2:9" x14ac:dyDescent="0.25">
      <c r="B22" s="18">
        <v>44104</v>
      </c>
      <c r="C22" s="33">
        <f>SUMIF(REA_7385!$D:$D,"&lt;="&amp;$B22,REA_7385!$K:$K)-SUM(C$8:C21)</f>
        <v>7220242.9899999946</v>
      </c>
      <c r="D22" s="33">
        <f>SUMIF(REA_7408!$D:$D,"&lt;="&amp;$B22,REA_7408!$R:$R)-SUM(D$8:D21)</f>
        <v>0</v>
      </c>
      <c r="E22" s="33">
        <f>SUMIF(REA_7409!$D:$D,"&lt;="&amp;$B22,REA_7409!$V:$V)-SUM(E$8:E21)</f>
        <v>0</v>
      </c>
      <c r="F22" s="33">
        <f>SUMIFS(REA_10630!$H:$H,REA_10630!$C:$C,"&lt;="&amp;$B22,REA_10630!$D:$D,F$6)-SUM(F$8:F21)</f>
        <v>0</v>
      </c>
      <c r="G22" s="33">
        <f>SUMIFS(REA_10630!$H:$H,REA_10630!$C:$C,"&lt;="&amp;$B22,REA_10630!$D:$D,G$6)-SUM(G$8:G21)</f>
        <v>0</v>
      </c>
      <c r="H22" s="33">
        <f>SUMIFS(REA_10630!$H:$H,REA_10630!$C:$C,"&lt;="&amp;$B22,REA_10630!$D:$D,H$6)-SUM(H$8:H21)</f>
        <v>0</v>
      </c>
      <c r="I22" s="33">
        <f t="shared" si="0"/>
        <v>7220242.9899999946</v>
      </c>
    </row>
    <row r="23" spans="2:9" x14ac:dyDescent="0.25">
      <c r="B23" s="18">
        <v>44135</v>
      </c>
      <c r="C23" s="33">
        <f>SUMIF(REA_7385!$D:$D,"&lt;="&amp;$B23,REA_7385!$K:$K)-SUM(C$8:C22)</f>
        <v>3530391.7800000012</v>
      </c>
      <c r="D23" s="33">
        <f>SUMIF(REA_7408!$D:$D,"&lt;="&amp;$B23,REA_7408!$R:$R)-SUM(D$8:D22)</f>
        <v>0</v>
      </c>
      <c r="E23" s="33">
        <f>SUMIF(REA_7409!$D:$D,"&lt;="&amp;$B23,REA_7409!$V:$V)-SUM(E$8:E22)</f>
        <v>0</v>
      </c>
      <c r="F23" s="33">
        <f>SUMIFS(REA_10630!$H:$H,REA_10630!$C:$C,"&lt;="&amp;$B23,REA_10630!$D:$D,F$6)-SUM(F$8:F22)</f>
        <v>0</v>
      </c>
      <c r="G23" s="33">
        <f>SUMIFS(REA_10630!$H:$H,REA_10630!$C:$C,"&lt;="&amp;$B23,REA_10630!$D:$D,G$6)-SUM(G$8:G22)</f>
        <v>0</v>
      </c>
      <c r="H23" s="33">
        <f>SUMIFS(REA_10630!$H:$H,REA_10630!$C:$C,"&lt;="&amp;$B23,REA_10630!$D:$D,H$6)-SUM(H$8:H22)</f>
        <v>0</v>
      </c>
      <c r="I23" s="33">
        <f t="shared" si="0"/>
        <v>3530391.7800000012</v>
      </c>
    </row>
    <row r="24" spans="2:9" x14ac:dyDescent="0.25">
      <c r="B24" s="18">
        <v>44165</v>
      </c>
      <c r="C24" s="33">
        <f>SUMIF(REA_7385!$D:$D,"&lt;="&amp;$B24,REA_7385!$K:$K)-SUM(C$8:C23)</f>
        <v>6178846.0900000185</v>
      </c>
      <c r="D24" s="33">
        <f>SUMIF(REA_7408!$D:$D,"&lt;="&amp;$B24,REA_7408!$R:$R)-SUM(D$8:D23)</f>
        <v>0</v>
      </c>
      <c r="E24" s="33">
        <f>SUMIF(REA_7409!$D:$D,"&lt;="&amp;$B24,REA_7409!$V:$V)-SUM(E$8:E23)</f>
        <v>0</v>
      </c>
      <c r="F24" s="33">
        <f>SUMIFS(REA_10630!$H:$H,REA_10630!$C:$C,"&lt;="&amp;$B24,REA_10630!$D:$D,F$6)-SUM(F$8:F23)</f>
        <v>0</v>
      </c>
      <c r="G24" s="33">
        <f>SUMIFS(REA_10630!$H:$H,REA_10630!$C:$C,"&lt;="&amp;$B24,REA_10630!$D:$D,G$6)-SUM(G$8:G23)</f>
        <v>0</v>
      </c>
      <c r="H24" s="33">
        <f>SUMIFS(REA_10630!$H:$H,REA_10630!$C:$C,"&lt;="&amp;$B24,REA_10630!$D:$D,H$6)-SUM(H$8:H23)</f>
        <v>0</v>
      </c>
      <c r="I24" s="33">
        <f>SUM(C24:H24)</f>
        <v>6178846.0900000185</v>
      </c>
    </row>
    <row r="25" spans="2:9" x14ac:dyDescent="0.25">
      <c r="B25" s="18">
        <v>44196</v>
      </c>
      <c r="C25" s="33">
        <f>SUMIF(REA_7385!$D:$D,"&lt;="&amp;$B25,REA_7385!$K:$K)-SUM(C$8:C24)</f>
        <v>3949898.4200000018</v>
      </c>
      <c r="D25" s="33">
        <f>SUMIF(REA_7408!$D:$D,"&lt;="&amp;$B25,REA_7408!$R:$R)-SUM(D$8:D24)</f>
        <v>0</v>
      </c>
      <c r="E25" s="33">
        <f>SUMIF(REA_7409!$D:$D,"&lt;="&amp;$B25,REA_7409!$V:$V)-SUM(E$8:E24)</f>
        <v>0</v>
      </c>
      <c r="F25" s="33">
        <f>SUMIFS(REA_10630!$H:$H,REA_10630!$C:$C,"&lt;="&amp;$B25,REA_10630!$D:$D,F$6)-SUM(F$8:F24)</f>
        <v>0</v>
      </c>
      <c r="G25" s="33">
        <f>SUMIFS(REA_10630!$H:$H,REA_10630!$C:$C,"&lt;="&amp;$B25,REA_10630!$D:$D,G$6)-SUM(G$8:G24)</f>
        <v>0</v>
      </c>
      <c r="H25" s="33">
        <f>SUMIFS(REA_10630!$H:$H,REA_10630!$C:$C,"&lt;="&amp;$B25,REA_10630!$D:$D,H$6)-SUM(H$8:H24)</f>
        <v>0</v>
      </c>
      <c r="I25" s="33">
        <f t="shared" ref="I25:I49" si="1">SUM(C25:H25)</f>
        <v>3949898.4200000018</v>
      </c>
    </row>
    <row r="26" spans="2:9" x14ac:dyDescent="0.25">
      <c r="B26" s="18">
        <v>44227</v>
      </c>
      <c r="C26" s="33">
        <f>SUMIF(REA_7385!$D:$D,"&lt;="&amp;$B26,REA_7385!$K:$K)-SUM(C$8:C25)</f>
        <v>0</v>
      </c>
      <c r="D26" s="33">
        <f>SUMIF(REA_7408!$D:$D,"&lt;="&amp;$B26,REA_7408!$R:$R)-SUM(D$8:D25)</f>
        <v>0</v>
      </c>
      <c r="E26" s="33">
        <f>SUMIF(REA_7409!$D:$D,"&lt;="&amp;$B26,REA_7409!$V:$V)-SUM(E$8:E25)</f>
        <v>0</v>
      </c>
      <c r="F26" s="33">
        <f>SUMIFS(REA_10630!$H:$H,REA_10630!$C:$C,"&lt;="&amp;$B26,REA_10630!$D:$D,F$6)-SUM(F$8:F25)</f>
        <v>0</v>
      </c>
      <c r="G26" s="33">
        <f>SUMIFS(REA_10630!$H:$H,REA_10630!$C:$C,"&lt;="&amp;$B26,REA_10630!$D:$D,G$6)-SUM(G$8:G25)</f>
        <v>0</v>
      </c>
      <c r="H26" s="33">
        <f>SUMIFS(REA_10630!$H:$H,REA_10630!$C:$C,"&lt;="&amp;$B26,REA_10630!$D:$D,H$6)-SUM(H$8:H25)</f>
        <v>0</v>
      </c>
      <c r="I26" s="33">
        <f t="shared" si="1"/>
        <v>0</v>
      </c>
    </row>
    <row r="27" spans="2:9" x14ac:dyDescent="0.25">
      <c r="B27" s="18">
        <v>44255</v>
      </c>
      <c r="C27" s="33">
        <f>SUMIF(REA_7385!$D:$D,"&lt;="&amp;$B27,REA_7385!$K:$K)-SUM(C$8:C26)</f>
        <v>11904683.910000011</v>
      </c>
      <c r="D27" s="33">
        <f>SUMIF(REA_7408!$D:$D,"&lt;="&amp;$B27,REA_7408!$R:$R)-SUM(D$8:D26)</f>
        <v>0</v>
      </c>
      <c r="E27" s="33">
        <f>SUMIF(REA_7409!$D:$D,"&lt;="&amp;$B27,REA_7409!$V:$V)-SUM(E$8:E26)</f>
        <v>0</v>
      </c>
      <c r="F27" s="33">
        <f>SUMIFS(REA_10630!$H:$H,REA_10630!$C:$C,"&lt;="&amp;$B27,REA_10630!$D:$D,F$6)-SUM(F$8:F26)</f>
        <v>0</v>
      </c>
      <c r="G27" s="33">
        <f>SUMIFS(REA_10630!$H:$H,REA_10630!$C:$C,"&lt;="&amp;$B27,REA_10630!$D:$D,G$6)-SUM(G$8:G26)</f>
        <v>0</v>
      </c>
      <c r="H27" s="33">
        <f>SUMIFS(REA_10630!$H:$H,REA_10630!$C:$C,"&lt;="&amp;$B27,REA_10630!$D:$D,H$6)-SUM(H$8:H26)</f>
        <v>0</v>
      </c>
      <c r="I27" s="33">
        <f t="shared" si="1"/>
        <v>11904683.910000011</v>
      </c>
    </row>
    <row r="28" spans="2:9" x14ac:dyDescent="0.25">
      <c r="B28" s="18">
        <v>44286</v>
      </c>
      <c r="C28" s="33">
        <f>SUMIF(REA_7385!$D:$D,"&lt;="&amp;$B28,REA_7385!$K:$K)-SUM(C$8:C27)</f>
        <v>8274436.8199999928</v>
      </c>
      <c r="D28" s="33">
        <f>SUMIF(REA_7408!$D:$D,"&lt;="&amp;$B28,REA_7408!$R:$R)-SUM(D$8:D27)</f>
        <v>0</v>
      </c>
      <c r="E28" s="33">
        <f>SUMIF(REA_7409!$D:$D,"&lt;="&amp;$B28,REA_7409!$V:$V)-SUM(E$8:E27)</f>
        <v>0</v>
      </c>
      <c r="F28" s="33">
        <f>SUMIFS(REA_10630!$H:$H,REA_10630!$C:$C,"&lt;="&amp;$B28,REA_10630!$D:$D,F$6)-SUM(F$8:F27)</f>
        <v>0</v>
      </c>
      <c r="G28" s="33">
        <f>SUMIFS(REA_10630!$H:$H,REA_10630!$C:$C,"&lt;="&amp;$B28,REA_10630!$D:$D,G$6)-SUM(G$8:G27)</f>
        <v>0</v>
      </c>
      <c r="H28" s="33">
        <f>SUMIFS(REA_10630!$H:$H,REA_10630!$C:$C,"&lt;="&amp;$B28,REA_10630!$D:$D,H$6)-SUM(H$8:H27)</f>
        <v>0</v>
      </c>
      <c r="I28" s="33">
        <f t="shared" si="1"/>
        <v>8274436.8199999928</v>
      </c>
    </row>
    <row r="29" spans="2:9" x14ac:dyDescent="0.25">
      <c r="B29" s="18">
        <v>44316</v>
      </c>
      <c r="C29" s="33">
        <f>SUMIF(REA_7385!$D:$D,"&lt;="&amp;$B29,REA_7385!$K:$K)-SUM(C$8:C28)</f>
        <v>0</v>
      </c>
      <c r="D29" s="33">
        <f>SUMIF(REA_7408!$D:$D,"&lt;="&amp;$B29,REA_7408!$R:$R)-SUM(D$8:D28)</f>
        <v>0</v>
      </c>
      <c r="E29" s="33">
        <f>SUMIF(REA_7409!$D:$D,"&lt;="&amp;$B29,REA_7409!$V:$V)-SUM(E$8:E28)</f>
        <v>0</v>
      </c>
      <c r="F29" s="33">
        <f>SUMIFS(REA_10630!$H:$H,REA_10630!$C:$C,"&lt;="&amp;$B29,REA_10630!$D:$D,F$6)-SUM(F$8:F28)</f>
        <v>0</v>
      </c>
      <c r="G29" s="33">
        <f>SUMIFS(REA_10630!$H:$H,REA_10630!$C:$C,"&lt;="&amp;$B29,REA_10630!$D:$D,G$6)-SUM(G$8:G28)</f>
        <v>0</v>
      </c>
      <c r="H29" s="33">
        <f>SUMIFS(REA_10630!$H:$H,REA_10630!$C:$C,"&lt;="&amp;$B29,REA_10630!$D:$D,H$6)-SUM(H$8:H28)</f>
        <v>0</v>
      </c>
      <c r="I29" s="33">
        <f t="shared" si="1"/>
        <v>0</v>
      </c>
    </row>
    <row r="30" spans="2:9" x14ac:dyDescent="0.25">
      <c r="B30" s="18">
        <v>44347</v>
      </c>
      <c r="C30" s="33">
        <f>SUMIF(REA_7385!$D:$D,"&lt;="&amp;$B30,REA_7385!$K:$K)-SUM(C$8:C29)</f>
        <v>2678669.3900000006</v>
      </c>
      <c r="D30" s="33">
        <f>SUMIF(REA_7408!$D:$D,"&lt;="&amp;$B30,REA_7408!$R:$R)-SUM(D$8:D29)</f>
        <v>0</v>
      </c>
      <c r="E30" s="33">
        <f>SUMIF(REA_7409!$D:$D,"&lt;="&amp;$B30,REA_7409!$V:$V)-SUM(E$8:E29)</f>
        <v>0</v>
      </c>
      <c r="F30" s="33">
        <f>SUMIFS(REA_10630!$H:$H,REA_10630!$C:$C,"&lt;="&amp;$B30,REA_10630!$D:$D,F$6)-SUM(F$8:F29)</f>
        <v>0</v>
      </c>
      <c r="G30" s="33">
        <f>SUMIFS(REA_10630!$H:$H,REA_10630!$C:$C,"&lt;="&amp;$B30,REA_10630!$D:$D,G$6)-SUM(G$8:G29)</f>
        <v>0</v>
      </c>
      <c r="H30" s="33">
        <f>SUMIFS(REA_10630!$H:$H,REA_10630!$C:$C,"&lt;="&amp;$B30,REA_10630!$D:$D,H$6)-SUM(H$8:H29)</f>
        <v>0</v>
      </c>
      <c r="I30" s="33">
        <f t="shared" si="1"/>
        <v>2678669.3900000006</v>
      </c>
    </row>
    <row r="31" spans="2:9" x14ac:dyDescent="0.25">
      <c r="B31" s="18">
        <v>44377</v>
      </c>
      <c r="C31" s="33">
        <f>SUMIF(REA_7385!$D:$D,"&lt;="&amp;$B31,REA_7385!$K:$K)-SUM(C$8:C30)</f>
        <v>1257326.7699999958</v>
      </c>
      <c r="D31" s="33">
        <f>SUMIF(REA_7408!$D:$D,"&lt;="&amp;$B31,REA_7408!$R:$R)-SUM(D$8:D30)</f>
        <v>0</v>
      </c>
      <c r="E31" s="33">
        <f>SUMIF(REA_7409!$D:$D,"&lt;="&amp;$B31,REA_7409!$V:$V)-SUM(E$8:E30)</f>
        <v>0</v>
      </c>
      <c r="F31" s="33">
        <f>SUMIFS(REA_10630!$H:$H,REA_10630!$C:$C,"&lt;="&amp;$B31,REA_10630!$D:$D,F$6)-SUM(F$8:F30)</f>
        <v>0</v>
      </c>
      <c r="G31" s="33">
        <f>SUMIFS(REA_10630!$H:$H,REA_10630!$C:$C,"&lt;="&amp;$B31,REA_10630!$D:$D,G$6)-SUM(G$8:G30)</f>
        <v>0</v>
      </c>
      <c r="H31" s="33">
        <f>SUMIFS(REA_10630!$H:$H,REA_10630!$C:$C,"&lt;="&amp;$B31,REA_10630!$D:$D,H$6)-SUM(H$8:H30)</f>
        <v>0</v>
      </c>
      <c r="I31" s="33">
        <f t="shared" si="1"/>
        <v>1257326.7699999958</v>
      </c>
    </row>
    <row r="32" spans="2:9" x14ac:dyDescent="0.25">
      <c r="B32" s="18">
        <v>44408</v>
      </c>
      <c r="C32" s="33">
        <f>SUMIF(REA_7385!$D:$D,"&lt;="&amp;$B32,REA_7385!$K:$K)-SUM(C$8:C31)</f>
        <v>1055435.5199999958</v>
      </c>
      <c r="D32" s="33">
        <f>SUMIF(REA_7408!$D:$D,"&lt;="&amp;$B32,REA_7408!$R:$R)-SUM(D$8:D31)</f>
        <v>0</v>
      </c>
      <c r="E32" s="33">
        <f>SUMIF(REA_7409!$D:$D,"&lt;="&amp;$B32,REA_7409!$V:$V)-SUM(E$8:E31)</f>
        <v>0</v>
      </c>
      <c r="F32" s="33">
        <f>SUMIFS(REA_10630!$H:$H,REA_10630!$C:$C,"&lt;="&amp;$B32,REA_10630!$D:$D,F$6)-SUM(F$8:F31)</f>
        <v>0</v>
      </c>
      <c r="G32" s="33">
        <f>SUMIFS(REA_10630!$H:$H,REA_10630!$C:$C,"&lt;="&amp;$B32,REA_10630!$D:$D,G$6)-SUM(G$8:G31)</f>
        <v>0</v>
      </c>
      <c r="H32" s="33">
        <f>SUMIFS(REA_10630!$H:$H,REA_10630!$C:$C,"&lt;="&amp;$B32,REA_10630!$D:$D,H$6)-SUM(H$8:H31)</f>
        <v>0</v>
      </c>
      <c r="I32" s="33">
        <f t="shared" si="1"/>
        <v>1055435.5199999958</v>
      </c>
    </row>
    <row r="33" spans="2:11" x14ac:dyDescent="0.25">
      <c r="B33" s="18">
        <v>44439</v>
      </c>
      <c r="C33" s="33">
        <f>SUMIF(REA_7385!$D:$D,"&lt;="&amp;$B33,REA_7385!$K:$K)-SUM(C$8:C32)</f>
        <v>1529821.75</v>
      </c>
      <c r="D33" s="33">
        <f>SUMIF(REA_7408!$D:$D,"&lt;="&amp;$B33,REA_7408!$R:$R)-SUM(D$8:D32)</f>
        <v>0</v>
      </c>
      <c r="E33" s="33">
        <f>SUMIF(REA_7409!$D:$D,"&lt;="&amp;$B33,REA_7409!$V:$V)-SUM(E$8:E32)</f>
        <v>0</v>
      </c>
      <c r="F33" s="33">
        <f>SUMIFS(REA_10630!$H:$H,REA_10630!$C:$C,"&lt;="&amp;$B33,REA_10630!$D:$D,F$6)-SUM(F$8:F32)</f>
        <v>0</v>
      </c>
      <c r="G33" s="33">
        <f>SUMIFS(REA_10630!$H:$H,REA_10630!$C:$C,"&lt;="&amp;$B33,REA_10630!$D:$D,G$6)-SUM(G$8:G32)</f>
        <v>0</v>
      </c>
      <c r="H33" s="33">
        <f>SUMIFS(REA_10630!$H:$H,REA_10630!$C:$C,"&lt;="&amp;$B33,REA_10630!$D:$D,H$6)-SUM(H$8:H32)</f>
        <v>0</v>
      </c>
      <c r="I33" s="33">
        <f t="shared" si="1"/>
        <v>1529821.75</v>
      </c>
    </row>
    <row r="34" spans="2:11" x14ac:dyDescent="0.25">
      <c r="B34" s="18">
        <v>44469</v>
      </c>
      <c r="C34" s="33">
        <f>SUMIF(REA_7385!$D:$D,"&lt;="&amp;$B34,REA_7385!$K:$K)-SUM(C$8:C33)</f>
        <v>2724364.4599999934</v>
      </c>
      <c r="D34" s="33">
        <f>SUMIF(REA_7408!$D:$D,"&lt;="&amp;$B34,REA_7408!$R:$R)-SUM(D$8:D33)</f>
        <v>0</v>
      </c>
      <c r="E34" s="33">
        <f>SUMIF(REA_7409!$D:$D,"&lt;="&amp;$B34,REA_7409!$V:$V)-SUM(E$8:E33)</f>
        <v>0</v>
      </c>
      <c r="F34" s="33">
        <f>SUMIFS(REA_10630!$H:$H,REA_10630!$C:$C,"&lt;="&amp;$B34,REA_10630!$D:$D,F$6)-SUM(F$8:F33)</f>
        <v>0</v>
      </c>
      <c r="G34" s="33">
        <f>SUMIFS(REA_10630!$H:$H,REA_10630!$C:$C,"&lt;="&amp;$B34,REA_10630!$D:$D,G$6)-SUM(G$8:G33)</f>
        <v>0</v>
      </c>
      <c r="H34" s="33">
        <f>SUMIFS(REA_10630!$H:$H,REA_10630!$C:$C,"&lt;="&amp;$B34,REA_10630!$D:$D,H$6)-SUM(H$8:H33)</f>
        <v>0</v>
      </c>
      <c r="I34" s="33">
        <f t="shared" si="1"/>
        <v>2724364.4599999934</v>
      </c>
    </row>
    <row r="35" spans="2:11" x14ac:dyDescent="0.25">
      <c r="B35" s="18">
        <v>44500</v>
      </c>
      <c r="C35" s="33">
        <f>SUMIF(REA_7385!$D:$D,"&lt;="&amp;$B35,REA_7385!$K:$K)-SUM(C$8:C34)</f>
        <v>979874.08999998868</v>
      </c>
      <c r="D35" s="33">
        <f>SUMIF(REA_7408!$D:$D,"&lt;="&amp;$B35,REA_7408!$R:$R)-SUM(D$8:D34)</f>
        <v>0</v>
      </c>
      <c r="E35" s="33">
        <f>SUMIF(REA_7409!$D:$D,"&lt;="&amp;$B35,REA_7409!$V:$V)-SUM(E$8:E34)</f>
        <v>0</v>
      </c>
      <c r="F35" s="33">
        <f>SUMIFS(REA_10630!$H:$H,REA_10630!$C:$C,"&lt;="&amp;$B35,REA_10630!$D:$D,F$6)-SUM(F$8:F34)</f>
        <v>0</v>
      </c>
      <c r="G35" s="33">
        <f>SUMIFS(REA_10630!$H:$H,REA_10630!$C:$C,"&lt;="&amp;$B35,REA_10630!$D:$D,G$6)-SUM(G$8:G34)</f>
        <v>0</v>
      </c>
      <c r="H35" s="33">
        <f>SUMIFS(REA_10630!$H:$H,REA_10630!$C:$C,"&lt;="&amp;$B35,REA_10630!$D:$D,H$6)-SUM(H$8:H34)</f>
        <v>0</v>
      </c>
      <c r="I35" s="33">
        <f t="shared" si="1"/>
        <v>979874.08999998868</v>
      </c>
      <c r="K35" s="44"/>
    </row>
    <row r="36" spans="2:11" x14ac:dyDescent="0.25">
      <c r="B36" s="18">
        <v>44530</v>
      </c>
      <c r="C36" s="33">
        <f>SUMIF(REA_7385!$D:$D,"&lt;="&amp;$B36,REA_7385!$K:$K)-SUM(C$8:C35)</f>
        <v>688067.8900000006</v>
      </c>
      <c r="D36" s="33">
        <f>SUMIF(REA_7408!$D:$D,"&lt;="&amp;$B36,REA_7408!$R:$R)-SUM(D$8:D35)</f>
        <v>0</v>
      </c>
      <c r="E36" s="33">
        <f>SUMIF(REA_7409!$D:$D,"&lt;="&amp;$B36,REA_7409!$V:$V)-SUM(E$8:E35)</f>
        <v>0</v>
      </c>
      <c r="F36" s="33">
        <f>SUMIFS(REA_10630!$H:$H,REA_10630!$C:$C,"&lt;="&amp;$B36,REA_10630!$D:$D,F$6)-SUM(F$8:F35)</f>
        <v>0</v>
      </c>
      <c r="G36" s="33">
        <f>SUMIFS(REA_10630!$H:$H,REA_10630!$C:$C,"&lt;="&amp;$B36,REA_10630!$D:$D,G$6)-SUM(G$8:G35)</f>
        <v>0</v>
      </c>
      <c r="H36" s="33">
        <f>SUMIFS(REA_10630!$H:$H,REA_10630!$C:$C,"&lt;="&amp;$B36,REA_10630!$D:$D,H$6)-SUM(H$8:H35)</f>
        <v>0</v>
      </c>
      <c r="I36" s="33">
        <f t="shared" si="1"/>
        <v>688067.8900000006</v>
      </c>
      <c r="K36" s="44"/>
    </row>
    <row r="37" spans="2:11" x14ac:dyDescent="0.25">
      <c r="B37" s="18">
        <v>44561</v>
      </c>
      <c r="C37" s="33">
        <f>SUMIF(REA_7385!$D:$D,"&lt;="&amp;$B37,REA_7385!$K:$K)-SUM(C$8:C36)</f>
        <v>1708913.6700000018</v>
      </c>
      <c r="D37" s="33">
        <f>SUMIF(REA_7408!$D:$D,"&lt;="&amp;$B37,REA_7408!$R:$R)-SUM(D$8:D36)</f>
        <v>0</v>
      </c>
      <c r="E37" s="33">
        <f>SUMIF(REA_7409!$D:$D,"&lt;="&amp;$B37,REA_7409!$V:$V)-SUM(E$8:E36)</f>
        <v>0</v>
      </c>
      <c r="F37" s="33">
        <f>SUMIFS(REA_10630!$H:$H,REA_10630!$C:$C,"&lt;="&amp;$B37,REA_10630!$D:$D,F$6)-SUM(F$8:F36)</f>
        <v>0</v>
      </c>
      <c r="G37" s="33">
        <f>SUMIFS(REA_10630!$H:$H,REA_10630!$C:$C,"&lt;="&amp;$B37,REA_10630!$D:$D,G$6)-SUM(G$8:G36)</f>
        <v>0</v>
      </c>
      <c r="H37" s="33">
        <f>SUMIFS(REA_10630!$H:$H,REA_10630!$C:$C,"&lt;="&amp;$B37,REA_10630!$D:$D,H$6)-SUM(H$8:H36)</f>
        <v>0</v>
      </c>
      <c r="I37" s="33">
        <f t="shared" si="1"/>
        <v>1708913.6700000018</v>
      </c>
      <c r="K37" s="44"/>
    </row>
    <row r="38" spans="2:11" x14ac:dyDescent="0.25">
      <c r="B38" s="18">
        <v>44592</v>
      </c>
      <c r="C38" s="33">
        <f>SUMIF(REA_7385!$D:$D,"&lt;="&amp;$B38,REA_7385!$K:$K)-SUM(C$8:C37)</f>
        <v>0</v>
      </c>
      <c r="D38" s="33">
        <f>SUMIF(REA_7408!$D:$D,"&lt;="&amp;$B38,REA_7408!$R:$R)-SUM(D$8:D37)</f>
        <v>1357777.55</v>
      </c>
      <c r="E38" s="33">
        <f>SUMIF(REA_7409!$D:$D,"&lt;="&amp;$B38,REA_7409!$V:$V)-SUM(E$8:E37)</f>
        <v>0</v>
      </c>
      <c r="F38" s="33">
        <f>SUMIFS(REA_10630!$H:$H,REA_10630!$C:$C,"&lt;="&amp;$B38,REA_10630!$D:$D,F$6)-SUM(F$8:F37)</f>
        <v>0</v>
      </c>
      <c r="G38" s="33">
        <f>SUMIFS(REA_10630!$H:$H,REA_10630!$C:$C,"&lt;="&amp;$B38,REA_10630!$D:$D,G$6)-SUM(G$8:G37)</f>
        <v>0</v>
      </c>
      <c r="H38" s="33">
        <f>SUMIFS(REA_10630!$H:$H,REA_10630!$C:$C,"&lt;="&amp;$B38,REA_10630!$D:$D,H$6)-SUM(H$8:H37)</f>
        <v>0</v>
      </c>
      <c r="I38" s="33">
        <f t="shared" si="1"/>
        <v>1357777.55</v>
      </c>
    </row>
    <row r="39" spans="2:11" x14ac:dyDescent="0.25">
      <c r="B39" s="18">
        <v>44620</v>
      </c>
      <c r="C39" s="33">
        <f>SUMIF(REA_7385!$D:$D,"&lt;="&amp;$B39,REA_7385!$K:$K)-SUM(C$8:C38)</f>
        <v>0</v>
      </c>
      <c r="D39" s="33">
        <f>SUMIF(REA_7408!$D:$D,"&lt;="&amp;$B39,REA_7408!$R:$R)-SUM(D$8:D38)</f>
        <v>0</v>
      </c>
      <c r="E39" s="33">
        <f>SUMIF(REA_7409!$D:$D,"&lt;="&amp;$B39,REA_7409!$V:$V)-SUM(E$8:E38)</f>
        <v>0</v>
      </c>
      <c r="F39" s="33">
        <f>SUMIFS(REA_10630!$H:$H,REA_10630!$C:$C,"&lt;="&amp;$B39,REA_10630!$D:$D,F$6)-SUM(F$8:F38)</f>
        <v>0</v>
      </c>
      <c r="G39" s="33">
        <f>SUMIFS(REA_10630!$H:$H,REA_10630!$C:$C,"&lt;="&amp;$B39,REA_10630!$D:$D,G$6)-SUM(G$8:G38)</f>
        <v>0</v>
      </c>
      <c r="H39" s="33">
        <f>SUMIFS(REA_10630!$H:$H,REA_10630!$C:$C,"&lt;="&amp;$B39,REA_10630!$D:$D,H$6)-SUM(H$8:H38)</f>
        <v>0</v>
      </c>
      <c r="I39" s="33">
        <f t="shared" si="1"/>
        <v>0</v>
      </c>
    </row>
    <row r="40" spans="2:11" x14ac:dyDescent="0.25">
      <c r="B40" s="18">
        <v>44651</v>
      </c>
      <c r="C40" s="33">
        <f>SUMIF(REA_7385!$D:$D,"&lt;="&amp;$B40,REA_7385!$K:$K)-SUM(C$8:C39)</f>
        <v>2123974.3299999982</v>
      </c>
      <c r="D40" s="33">
        <f>SUMIF(REA_7408!$D:$D,"&lt;="&amp;$B40,REA_7408!$R:$R)-SUM(D$8:D39)</f>
        <v>0</v>
      </c>
      <c r="E40" s="33">
        <f>SUMIF(REA_7409!$D:$D,"&lt;="&amp;$B40,REA_7409!$V:$V)-SUM(E$8:E39)</f>
        <v>0</v>
      </c>
      <c r="F40" s="33">
        <f>SUMIFS(REA_10630!$H:$H,REA_10630!$C:$C,"&lt;="&amp;$B40,REA_10630!$D:$D,F$6)-SUM(F$8:F39)</f>
        <v>0</v>
      </c>
      <c r="G40" s="33">
        <f>SUMIFS(REA_10630!$H:$H,REA_10630!$C:$C,"&lt;="&amp;$B40,REA_10630!$D:$D,G$6)-SUM(G$8:G39)</f>
        <v>0</v>
      </c>
      <c r="H40" s="33">
        <f>SUMIFS(REA_10630!$H:$H,REA_10630!$C:$C,"&lt;="&amp;$B40,REA_10630!$D:$D,H$6)-SUM(H$8:H39)</f>
        <v>0</v>
      </c>
      <c r="I40" s="33">
        <f t="shared" si="1"/>
        <v>2123974.3299999982</v>
      </c>
    </row>
    <row r="41" spans="2:11" x14ac:dyDescent="0.25">
      <c r="B41" s="18">
        <v>44681</v>
      </c>
      <c r="C41" s="33">
        <f>SUMIF(REA_7385!$D:$D,"&lt;="&amp;$B41,REA_7385!$K:$K)-SUM(C$8:C40)</f>
        <v>929659.1400000006</v>
      </c>
      <c r="D41" s="33">
        <f>SUMIF(REA_7408!$D:$D,"&lt;="&amp;$B41,REA_7408!$R:$R)-SUM(D$8:D40)</f>
        <v>382543.82000000007</v>
      </c>
      <c r="E41" s="33">
        <f>SUMIF(REA_7409!$D:$D,"&lt;="&amp;$B41,REA_7409!$V:$V)-SUM(E$8:E40)</f>
        <v>29591998.809999999</v>
      </c>
      <c r="F41" s="41">
        <f>SUMIFS(REA_10630!$H:$H,REA_10630!$C:$C,"&lt;="&amp;$B41,REA_10630!$D:$D,F$6)-SUM(F$8:F40)</f>
        <v>0</v>
      </c>
      <c r="G41" s="41">
        <f>SUMIFS(REA_10630!$H:$H,REA_10630!$C:$C,"&lt;="&amp;$B41,REA_10630!$D:$D,G$6)-SUM(G$8:G40)</f>
        <v>0</v>
      </c>
      <c r="H41" s="41">
        <f>SUMIFS(REA_10630!$H:$H,REA_10630!$C:$C,"&lt;="&amp;$B41,REA_10630!$D:$D,H$6)-SUM(H$8:H40)</f>
        <v>5625056.6500000004</v>
      </c>
      <c r="I41" s="33">
        <f t="shared" si="1"/>
        <v>36529258.420000002</v>
      </c>
    </row>
    <row r="42" spans="2:11" x14ac:dyDescent="0.25">
      <c r="B42" s="18">
        <v>44712</v>
      </c>
      <c r="C42" s="33">
        <f>SUMIF(REA_7385!$D:$D,"&lt;="&amp;$B42,REA_7385!$K:$K)-SUM(C$8:C41)</f>
        <v>1906121.7800000012</v>
      </c>
      <c r="D42" s="33">
        <f>SUMIF(REA_7408!$D:$D,"&lt;="&amp;$B42,REA_7408!$R:$R)-SUM(D$8:D41)</f>
        <v>0</v>
      </c>
      <c r="E42" s="33">
        <f>SUMIF(REA_7409!$D:$D,"&lt;="&amp;$B42,REA_7409!$V:$V)-SUM(E$8:E41)</f>
        <v>12245881.069999997</v>
      </c>
      <c r="F42" s="33">
        <f>SUMIFS(REA_10630!$H:$H,REA_10630!$C:$C,"&lt;="&amp;$B42,REA_10630!$D:$D,F$6)-SUM(F$8:F41)</f>
        <v>5223874.4400000004</v>
      </c>
      <c r="G42" s="33">
        <f>SUMIFS(REA_10630!$H:$H,REA_10630!$C:$C,"&lt;="&amp;$B42,REA_10630!$D:$D,G$6)-SUM(G$8:G41)</f>
        <v>7670523.4800000004</v>
      </c>
      <c r="H42" s="33">
        <f>SUMIFS(REA_10630!$H:$H,REA_10630!$C:$C,"&lt;="&amp;$B42,REA_10630!$D:$D,H$6)-SUM(H$8:H41)</f>
        <v>0</v>
      </c>
      <c r="I42" s="33">
        <f t="shared" si="1"/>
        <v>27046400.77</v>
      </c>
    </row>
    <row r="43" spans="2:11" x14ac:dyDescent="0.25">
      <c r="B43" s="18">
        <v>44742</v>
      </c>
      <c r="C43" s="33">
        <f>SUMIF(REA_7385!$D:$D,"&lt;="&amp;$B43,REA_7385!$K:$K)-SUM(C$8:C42)</f>
        <v>974930.3900000006</v>
      </c>
      <c r="D43" s="33">
        <f>SUMIF(REA_7408!$D:$D,"&lt;="&amp;$B43,REA_7408!$R:$R)-SUM(D$8:D42)</f>
        <v>847737.48</v>
      </c>
      <c r="E43" s="33">
        <f>SUMIF(REA_7409!$D:$D,"&lt;="&amp;$B43,REA_7409!$V:$V)-SUM(E$8:E42)</f>
        <v>0</v>
      </c>
      <c r="F43" s="33">
        <f>SUMIFS(REA_10630!$H:$H,REA_10630!$C:$C,"&lt;="&amp;$B43,REA_10630!$D:$D,F$6)-SUM(F$8:F42)</f>
        <v>0</v>
      </c>
      <c r="G43" s="33">
        <f>SUMIFS(REA_10630!$H:$H,REA_10630!$C:$C,"&lt;="&amp;$B43,REA_10630!$D:$D,G$6)-SUM(G$8:G42)</f>
        <v>0</v>
      </c>
      <c r="H43" s="33">
        <f>SUMIFS(REA_10630!$H:$H,REA_10630!$C:$C,"&lt;="&amp;$B43,REA_10630!$D:$D,H$6)-SUM(H$8:H42)</f>
        <v>0</v>
      </c>
      <c r="I43" s="33">
        <f t="shared" si="1"/>
        <v>1822667.8700000006</v>
      </c>
    </row>
    <row r="44" spans="2:11" x14ac:dyDescent="0.25">
      <c r="B44" s="18">
        <v>44773</v>
      </c>
      <c r="C44" s="33">
        <f>SUMIF(REA_7385!$D:$D,"&lt;="&amp;$B44,REA_7385!$K:$K)-SUM(C$8:C43)</f>
        <v>1105666.3599999994</v>
      </c>
      <c r="D44" s="33">
        <f>SUMIF(REA_7408!$D:$D,"&lt;="&amp;$B44,REA_7408!$R:$R)-SUM(D$8:D43)</f>
        <v>11483.919999999925</v>
      </c>
      <c r="E44" s="33">
        <f>SUMIF(REA_7409!$D:$D,"&lt;="&amp;$B44,REA_7409!$V:$V)-SUM(E$8:E43)</f>
        <v>995878.3200000003</v>
      </c>
      <c r="F44" s="33">
        <f>SUMIFS(REA_10630!$H:$H,REA_10630!$C:$C,"&lt;="&amp;$B44,REA_10630!$D:$D,F$6)-SUM(F$8:F43)</f>
        <v>0</v>
      </c>
      <c r="G44" s="33">
        <f>SUMIFS(REA_10630!$H:$H,REA_10630!$C:$C,"&lt;="&amp;$B44,REA_10630!$D:$D,G$6)-SUM(G$8:G43)</f>
        <v>0</v>
      </c>
      <c r="H44" s="33">
        <f>SUMIFS(REA_10630!$H:$H,REA_10630!$C:$C,"&lt;="&amp;$B44,REA_10630!$D:$D,H$6)-SUM(H$8:H43)</f>
        <v>0</v>
      </c>
      <c r="I44" s="33">
        <f t="shared" si="1"/>
        <v>2113028.5999999996</v>
      </c>
    </row>
    <row r="45" spans="2:11" x14ac:dyDescent="0.25">
      <c r="B45" s="18">
        <v>44804</v>
      </c>
      <c r="C45" s="33">
        <f>SUMIF(REA_7385!$D:$D,"&lt;="&amp;$B45,REA_7385!$K:$K)-SUM(C$8:C44)</f>
        <v>369950.20000000298</v>
      </c>
      <c r="D45" s="33">
        <f>SUMIF(REA_7408!$D:$D,"&lt;="&amp;$B45,REA_7408!$R:$R)-SUM(D$8:D44)</f>
        <v>963671.67000000039</v>
      </c>
      <c r="E45" s="33">
        <f>SUMIF(REA_7409!$D:$D,"&lt;="&amp;$B45,REA_7409!$V:$V)-SUM(E$8:E44)</f>
        <v>0</v>
      </c>
      <c r="F45" s="33">
        <f>SUMIFS(REA_10630!$H:$H,REA_10630!$C:$C,"&lt;="&amp;$B45,REA_10630!$D:$D,F$6)-SUM(F$8:F44)</f>
        <v>6315547.5700000012</v>
      </c>
      <c r="G45" s="33">
        <f>SUMIFS(REA_10630!$H:$H,REA_10630!$C:$C,"&lt;="&amp;$B45,REA_10630!$D:$D,G$6)-SUM(G$8:G44)</f>
        <v>7061734.5300000012</v>
      </c>
      <c r="H45" s="33">
        <f>SUMIFS(REA_10630!$H:$H,REA_10630!$C:$C,"&lt;="&amp;$B45,REA_10630!$D:$D,H$6)-SUM(H$8:H44)</f>
        <v>6742260.8699999992</v>
      </c>
      <c r="I45" s="33">
        <f t="shared" si="1"/>
        <v>21453164.840000004</v>
      </c>
    </row>
    <row r="46" spans="2:11" x14ac:dyDescent="0.25">
      <c r="B46" s="18">
        <v>44834</v>
      </c>
      <c r="C46" s="33">
        <f>SUMIF(REA_7385!$D:$D,"&lt;="&amp;$B46,REA_7385!$K:$K)-SUM(C$8:C45)</f>
        <v>550964.79999999702</v>
      </c>
      <c r="D46" s="33">
        <f>SUMIF(REA_7408!$D:$D,"&lt;="&amp;$B46,REA_7408!$R:$R)-SUM(D$8:D45)</f>
        <v>1779268.2199999997</v>
      </c>
      <c r="E46" s="33">
        <f>SUMIF(REA_7409!$D:$D,"&lt;="&amp;$B46,REA_7409!$V:$V)-SUM(E$8:E45)</f>
        <v>3660023.2100000009</v>
      </c>
      <c r="F46" s="33">
        <f>SUMIFS(REA_10630!$H:$H,REA_10630!$C:$C,"&lt;="&amp;$B46,REA_10630!$D:$D,F$6)-SUM(F$8:F45)</f>
        <v>0</v>
      </c>
      <c r="G46" s="33">
        <f>SUMIFS(REA_10630!$H:$H,REA_10630!$C:$C,"&lt;="&amp;$B46,REA_10630!$D:$D,G$6)-SUM(G$8:G45)</f>
        <v>0</v>
      </c>
      <c r="H46" s="33">
        <f>SUMIFS(REA_10630!$H:$H,REA_10630!$C:$C,"&lt;="&amp;$B46,REA_10630!$D:$D,H$6)-SUM(H$8:H45)</f>
        <v>0</v>
      </c>
      <c r="I46" s="33">
        <f t="shared" si="1"/>
        <v>5990256.2299999977</v>
      </c>
    </row>
    <row r="47" spans="2:11" x14ac:dyDescent="0.25">
      <c r="B47" s="18">
        <v>44865</v>
      </c>
      <c r="C47" s="33">
        <f>SUMIF(REA_7385!$D:$D,"&lt;="&amp;$B47,REA_7385!$K:$K)-SUM(C$8:C46)</f>
        <v>516698.42000000179</v>
      </c>
      <c r="D47" s="33">
        <f>SUMIF(REA_7408!$D:$D,"&lt;="&amp;$B47,REA_7408!$R:$R)-SUM(D$8:D46)</f>
        <v>0</v>
      </c>
      <c r="E47" s="33">
        <f>SUMIF(REA_7409!$D:$D,"&lt;="&amp;$B47,REA_7409!$V:$V)-SUM(E$8:E46)</f>
        <v>0</v>
      </c>
      <c r="F47" s="33">
        <f>SUMIFS(REA_10630!$H:$H,REA_10630!$C:$C,"&lt;="&amp;$B47,REA_10630!$D:$D,F$6)-SUM(F$8:F46)</f>
        <v>4235995.4800000004</v>
      </c>
      <c r="G47" s="33">
        <f>SUMIFS(REA_10630!$H:$H,REA_10630!$C:$C,"&lt;="&amp;$B47,REA_10630!$D:$D,G$6)-SUM(G$8:G46)</f>
        <v>0</v>
      </c>
      <c r="H47" s="33">
        <f>SUMIFS(REA_10630!$H:$H,REA_10630!$C:$C,"&lt;="&amp;$B47,REA_10630!$D:$D,H$6)-SUM(H$8:H46)</f>
        <v>6843366.9400000013</v>
      </c>
      <c r="I47" s="33">
        <f t="shared" si="1"/>
        <v>11596060.840000004</v>
      </c>
    </row>
    <row r="48" spans="2:11" x14ac:dyDescent="0.25">
      <c r="B48" s="18">
        <v>44895</v>
      </c>
      <c r="C48" s="33">
        <f>SUMIF(REA_7385!$D:$D,"&lt;="&amp;$B48,REA_7385!$K:$K)-SUM(C$8:C47)</f>
        <v>368059.09000000358</v>
      </c>
      <c r="D48" s="33">
        <f>SUMIF(REA_7408!$D:$D,"&lt;="&amp;$B48,REA_7408!$R:$R)-SUM(D$8:D47)</f>
        <v>3646251.4299999997</v>
      </c>
      <c r="E48" s="33">
        <f>SUMIF(REA_7409!$D:$D,"&lt;="&amp;$B48,REA_7409!$V:$V)-SUM(E$8:E47)</f>
        <v>0</v>
      </c>
      <c r="F48" s="33">
        <f>SUMIFS(REA_10630!$H:$H,REA_10630!$C:$C,"&lt;="&amp;$B48,REA_10630!$D:$D,F$6)-SUM(F$8:F47)</f>
        <v>0</v>
      </c>
      <c r="G48" s="33">
        <f>SUMIFS(REA_10630!$H:$H,REA_10630!$C:$C,"&lt;="&amp;$B48,REA_10630!$D:$D,G$6)-SUM(G$8:G47)</f>
        <v>0</v>
      </c>
      <c r="H48" s="33">
        <f>SUMIFS(REA_10630!$H:$H,REA_10630!$C:$C,"&lt;="&amp;$B48,REA_10630!$D:$D,H$6)-SUM(H$8:H47)</f>
        <v>0</v>
      </c>
      <c r="I48" s="33">
        <f t="shared" si="1"/>
        <v>4014310.5200000033</v>
      </c>
    </row>
    <row r="49" spans="2:9" x14ac:dyDescent="0.25">
      <c r="B49" s="18">
        <v>44926</v>
      </c>
      <c r="C49" s="33">
        <f>SUMIF(REA_7385!$D:$D,"&lt;="&amp;$B49,REA_7385!$K:$K)-SUM(C$8:C48)</f>
        <v>0</v>
      </c>
      <c r="D49" s="33">
        <f>SUMIF(REA_7408!$D:$D,"&lt;="&amp;$B49,REA_7408!$R:$R)-SUM(D$8:D48)</f>
        <v>61747.189999999478</v>
      </c>
      <c r="E49" s="33">
        <f>SUMIF(REA_7409!$D:$D,"&lt;="&amp;$B49,REA_7409!$V:$V)-SUM(E$8:E48)</f>
        <v>0</v>
      </c>
      <c r="F49" s="33">
        <f>SUMIFS(REA_10630!$H:$H,REA_10630!$C:$C,"&lt;="&amp;$B49,REA_10630!$D:$D,F$6)-SUM(F$8:F48)</f>
        <v>6997321.8299999982</v>
      </c>
      <c r="G49" s="33">
        <f>SUMIFS(REA_10630!$H:$H,REA_10630!$C:$C,"&lt;="&amp;$B49,REA_10630!$D:$D,G$6)-SUM(G$8:G48)</f>
        <v>12396834.330000002</v>
      </c>
      <c r="H49" s="33">
        <f>SUMIFS(REA_10630!$H:$H,REA_10630!$C:$C,"&lt;="&amp;$B49,REA_10630!$D:$D,H$6)-SUM(H$8:H48)</f>
        <v>6850369.3900000006</v>
      </c>
      <c r="I49" s="33">
        <f t="shared" si="1"/>
        <v>26306272.740000002</v>
      </c>
    </row>
    <row r="50" spans="2:9" ht="21" customHeight="1" x14ac:dyDescent="0.25">
      <c r="B50" s="30" t="s">
        <v>17</v>
      </c>
      <c r="C50" s="34">
        <f>C7-SUM(C$8:C$49)</f>
        <v>355267.16999998689</v>
      </c>
      <c r="D50" s="34">
        <f t="shared" ref="D50:H50" si="2">D7-SUM(D$8:D$49)</f>
        <v>42510406.350000001</v>
      </c>
      <c r="E50" s="34">
        <f t="shared" si="2"/>
        <v>164437291</v>
      </c>
      <c r="F50" s="34">
        <f t="shared" si="2"/>
        <v>29855971.310000002</v>
      </c>
      <c r="G50" s="34">
        <f t="shared" si="2"/>
        <v>55082101.079999998</v>
      </c>
      <c r="H50" s="34">
        <f t="shared" si="2"/>
        <v>31044310.18</v>
      </c>
      <c r="I50" s="35">
        <f>SUM(C50:H50)</f>
        <v>323285347.08999997</v>
      </c>
    </row>
    <row r="51" spans="2:9" ht="14.25" customHeight="1" x14ac:dyDescent="0.25"/>
  </sheetData>
  <mergeCells count="2">
    <mergeCell ref="B5:B6"/>
    <mergeCell ref="I5:I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0F8E-31E2-4199-BA1E-9F10ECC9217C}">
  <dimension ref="A1:N89"/>
  <sheetViews>
    <sheetView showGridLines="0" zoomScale="80" zoomScaleNormal="80" workbookViewId="0">
      <pane xSplit="4" ySplit="8" topLeftCell="E63" activePane="bottomRight" state="frozen"/>
      <selection pane="topRight" activeCell="E1" sqref="E1"/>
      <selection pane="bottomLeft" activeCell="A9" sqref="A9"/>
      <selection pane="bottomRight" activeCell="B7" sqref="B7:B8"/>
    </sheetView>
  </sheetViews>
  <sheetFormatPr defaultColWidth="8.85546875" defaultRowHeight="12.75" x14ac:dyDescent="0.2"/>
  <cols>
    <col min="1" max="1" width="3.85546875" style="1" customWidth="1"/>
    <col min="2" max="2" width="12.85546875" style="1" customWidth="1"/>
    <col min="3" max="3" width="18.42578125" style="1" customWidth="1"/>
    <col min="4" max="4" width="20" style="1" customWidth="1"/>
    <col min="5" max="12" width="18.42578125" style="1" customWidth="1"/>
    <col min="13" max="13" width="14" style="1" bestFit="1" customWidth="1"/>
    <col min="14" max="14" width="11.140625" style="1" bestFit="1" customWidth="1"/>
    <col min="15" max="16384" width="8.85546875" style="1"/>
  </cols>
  <sheetData>
    <row r="1" spans="1:14" ht="23.25" x14ac:dyDescent="0.35">
      <c r="B1" s="2" t="s">
        <v>14</v>
      </c>
      <c r="F1" s="2"/>
      <c r="G1" s="2"/>
      <c r="H1" s="2"/>
      <c r="I1" s="2"/>
      <c r="J1" s="2"/>
      <c r="K1" s="2"/>
      <c r="L1" s="2"/>
    </row>
    <row r="2" spans="1:14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4" ht="15.75" x14ac:dyDescent="0.2">
      <c r="A3" s="3"/>
      <c r="B3" s="5" t="s">
        <v>6</v>
      </c>
      <c r="D3" s="5" t="s">
        <v>7</v>
      </c>
      <c r="F3" s="5"/>
      <c r="G3" s="5"/>
      <c r="H3" s="5"/>
      <c r="I3" s="5"/>
      <c r="J3" s="5"/>
      <c r="K3" s="5"/>
      <c r="L3" s="5"/>
      <c r="M3" s="5"/>
    </row>
    <row r="4" spans="1:14" ht="15.75" x14ac:dyDescent="0.2">
      <c r="A4" s="3"/>
      <c r="B4" s="5" t="s">
        <v>0</v>
      </c>
      <c r="D4" s="5" t="s">
        <v>21</v>
      </c>
      <c r="F4" s="5"/>
      <c r="G4" s="6" t="s">
        <v>5</v>
      </c>
      <c r="H4" s="5"/>
      <c r="I4" s="5"/>
      <c r="J4" s="5"/>
      <c r="K4" s="5"/>
      <c r="L4" s="5"/>
      <c r="M4" s="5"/>
    </row>
    <row r="5" spans="1:14" ht="15.75" x14ac:dyDescent="0.2">
      <c r="A5" s="3"/>
      <c r="B5" s="5" t="s">
        <v>1</v>
      </c>
      <c r="C5" s="5"/>
      <c r="D5" s="25">
        <v>119441737.31999999</v>
      </c>
      <c r="E5" s="5"/>
      <c r="F5" s="5"/>
      <c r="G5" s="5"/>
      <c r="H5" s="5"/>
      <c r="I5" s="5"/>
      <c r="J5" s="5"/>
      <c r="K5" s="5"/>
      <c r="L5" s="5"/>
      <c r="M5" s="5"/>
    </row>
    <row r="6" spans="1:14" ht="15.75" x14ac:dyDescent="0.2">
      <c r="A6" s="3"/>
      <c r="B6" s="5"/>
      <c r="C6" s="5"/>
      <c r="D6" s="23"/>
      <c r="E6" s="5"/>
      <c r="F6" s="5"/>
      <c r="G6" s="5"/>
      <c r="H6" s="5"/>
      <c r="I6" s="5"/>
      <c r="J6" s="5"/>
      <c r="K6" s="5"/>
      <c r="L6" s="5"/>
      <c r="M6" s="5"/>
    </row>
    <row r="7" spans="1:14" ht="30" customHeight="1" x14ac:dyDescent="0.2">
      <c r="A7" s="7"/>
      <c r="B7" s="56" t="s">
        <v>8</v>
      </c>
      <c r="C7" s="56" t="s">
        <v>15</v>
      </c>
      <c r="D7" s="56" t="s">
        <v>16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8" t="s">
        <v>3</v>
      </c>
      <c r="K7" s="58" t="s">
        <v>2</v>
      </c>
      <c r="L7" s="58" t="s">
        <v>17</v>
      </c>
      <c r="M7" s="9"/>
      <c r="N7" s="9"/>
    </row>
    <row r="8" spans="1:14" ht="15" x14ac:dyDescent="0.2">
      <c r="A8" s="7"/>
      <c r="B8" s="57"/>
      <c r="C8" s="57"/>
      <c r="D8" s="57"/>
      <c r="E8" s="8" t="s">
        <v>91</v>
      </c>
      <c r="F8" s="8" t="s">
        <v>137</v>
      </c>
      <c r="G8" s="8" t="s">
        <v>108</v>
      </c>
      <c r="H8" s="8" t="s">
        <v>138</v>
      </c>
      <c r="I8" s="8" t="s">
        <v>107</v>
      </c>
      <c r="J8" s="8" t="s">
        <v>92</v>
      </c>
      <c r="K8" s="59"/>
      <c r="L8" s="59"/>
      <c r="M8" s="45"/>
      <c r="N8" s="45"/>
    </row>
    <row r="9" spans="1:14" ht="15" x14ac:dyDescent="0.2">
      <c r="A9" s="3"/>
      <c r="B9" s="24">
        <v>1634</v>
      </c>
      <c r="C9" s="26">
        <v>43623</v>
      </c>
      <c r="D9" s="26">
        <v>43661</v>
      </c>
      <c r="E9" s="27">
        <v>1664707.26</v>
      </c>
      <c r="F9" s="27">
        <v>0</v>
      </c>
      <c r="G9" s="27">
        <v>0</v>
      </c>
      <c r="H9" s="27">
        <v>0</v>
      </c>
      <c r="I9" s="27">
        <v>0</v>
      </c>
      <c r="J9" s="27">
        <v>5041930.63</v>
      </c>
      <c r="K9" s="27">
        <f>SUM(E9:J9)</f>
        <v>6706637.8899999997</v>
      </c>
      <c r="L9" s="27">
        <f>$D$5-SUM(K$9:K9)</f>
        <v>112735099.42999999</v>
      </c>
      <c r="M9" s="12"/>
      <c r="N9" s="12"/>
    </row>
    <row r="10" spans="1:14" ht="15" x14ac:dyDescent="0.2">
      <c r="A10" s="3"/>
      <c r="B10" s="24">
        <v>1634</v>
      </c>
      <c r="C10" s="26">
        <v>43623</v>
      </c>
      <c r="D10" s="26">
        <v>43736</v>
      </c>
      <c r="E10" s="27">
        <v>0</v>
      </c>
      <c r="F10" s="27">
        <v>0</v>
      </c>
      <c r="G10" s="27">
        <v>374471.44</v>
      </c>
      <c r="H10" s="27">
        <v>0</v>
      </c>
      <c r="I10" s="27">
        <v>0</v>
      </c>
      <c r="J10" s="27">
        <v>0</v>
      </c>
      <c r="K10" s="27">
        <f t="shared" ref="K10:K40" si="0">SUM(E10:J10)</f>
        <v>374471.44</v>
      </c>
      <c r="L10" s="27">
        <f>$D$5-SUM(K$9:K10)</f>
        <v>112360627.98999999</v>
      </c>
      <c r="M10" s="12"/>
      <c r="N10" s="12"/>
    </row>
    <row r="11" spans="1:14" ht="15" x14ac:dyDescent="0.2">
      <c r="A11" s="3"/>
      <c r="B11" s="24">
        <v>2053</v>
      </c>
      <c r="C11" s="26">
        <v>43672</v>
      </c>
      <c r="D11" s="26">
        <v>43677</v>
      </c>
      <c r="E11" s="27">
        <v>2177412.13</v>
      </c>
      <c r="F11" s="27">
        <v>0</v>
      </c>
      <c r="G11" s="27">
        <v>0</v>
      </c>
      <c r="H11" s="27">
        <v>0</v>
      </c>
      <c r="I11" s="27">
        <v>0</v>
      </c>
      <c r="J11" s="27">
        <v>227561.82</v>
      </c>
      <c r="K11" s="27">
        <f t="shared" si="0"/>
        <v>2404973.9499999997</v>
      </c>
      <c r="L11" s="27">
        <f>$D$5-SUM(K$9:K11)</f>
        <v>109955654.03999999</v>
      </c>
      <c r="M11" s="13"/>
      <c r="N11" s="12"/>
    </row>
    <row r="12" spans="1:14" ht="15" x14ac:dyDescent="0.2">
      <c r="A12" s="3"/>
      <c r="B12" s="24">
        <v>2435</v>
      </c>
      <c r="C12" s="26">
        <v>43712</v>
      </c>
      <c r="D12" s="26">
        <v>43728</v>
      </c>
      <c r="E12" s="27">
        <v>366985.11</v>
      </c>
      <c r="F12" s="27">
        <v>0</v>
      </c>
      <c r="G12" s="27">
        <v>0</v>
      </c>
      <c r="H12" s="27">
        <v>0</v>
      </c>
      <c r="I12" s="27">
        <v>0</v>
      </c>
      <c r="J12" s="27">
        <v>56315.85</v>
      </c>
      <c r="K12" s="27">
        <f t="shared" si="0"/>
        <v>423300.95999999996</v>
      </c>
      <c r="L12" s="27">
        <f>$D$5-SUM(K$9:K12)</f>
        <v>109532353.08</v>
      </c>
      <c r="M12" s="13"/>
      <c r="N12" s="12"/>
    </row>
    <row r="13" spans="1:14" ht="15" x14ac:dyDescent="0.2">
      <c r="A13" s="3"/>
      <c r="B13" s="24">
        <v>2524</v>
      </c>
      <c r="C13" s="26">
        <v>43724</v>
      </c>
      <c r="D13" s="26">
        <v>43738</v>
      </c>
      <c r="E13" s="27">
        <v>0</v>
      </c>
      <c r="F13" s="27">
        <v>40223.82</v>
      </c>
      <c r="G13" s="27">
        <v>0</v>
      </c>
      <c r="H13" s="27">
        <v>0</v>
      </c>
      <c r="I13" s="27">
        <v>0</v>
      </c>
      <c r="J13" s="27">
        <v>8799.73</v>
      </c>
      <c r="K13" s="27">
        <f t="shared" si="0"/>
        <v>49023.55</v>
      </c>
      <c r="L13" s="27">
        <f>$D$5-SUM(K$9:K13)</f>
        <v>109483329.53</v>
      </c>
      <c r="M13" s="13"/>
      <c r="N13" s="12"/>
    </row>
    <row r="14" spans="1:14" ht="15" x14ac:dyDescent="0.2">
      <c r="A14" s="3"/>
      <c r="B14" s="24">
        <v>2863</v>
      </c>
      <c r="C14" s="26">
        <v>43759</v>
      </c>
      <c r="D14" s="26">
        <v>43769</v>
      </c>
      <c r="E14" s="27">
        <v>0</v>
      </c>
      <c r="F14" s="27">
        <v>359578.5</v>
      </c>
      <c r="G14" s="27">
        <v>0</v>
      </c>
      <c r="H14" s="27">
        <v>0</v>
      </c>
      <c r="I14" s="27">
        <v>72173.89</v>
      </c>
      <c r="J14" s="27">
        <v>50034.05</v>
      </c>
      <c r="K14" s="27">
        <f t="shared" si="0"/>
        <v>481786.44</v>
      </c>
      <c r="L14" s="27">
        <f>$D$5-SUM(K$9:K14)</f>
        <v>109001543.08999999</v>
      </c>
      <c r="M14" s="13"/>
      <c r="N14" s="12"/>
    </row>
    <row r="15" spans="1:14" ht="15" x14ac:dyDescent="0.2">
      <c r="A15" s="3"/>
      <c r="B15" s="24">
        <v>2878</v>
      </c>
      <c r="C15" s="26">
        <v>43759</v>
      </c>
      <c r="D15" s="26">
        <v>43769</v>
      </c>
      <c r="E15" s="27">
        <v>2762966.38</v>
      </c>
      <c r="F15" s="27">
        <v>774030.91</v>
      </c>
      <c r="G15" s="27">
        <v>374471.44</v>
      </c>
      <c r="H15" s="27">
        <v>0</v>
      </c>
      <c r="I15" s="27">
        <v>156558.1</v>
      </c>
      <c r="J15" s="27">
        <v>146776.49</v>
      </c>
      <c r="K15" s="27">
        <f t="shared" si="0"/>
        <v>4214803.32</v>
      </c>
      <c r="L15" s="27">
        <f>$D$5-SUM(K$9:K15)</f>
        <v>104786739.77</v>
      </c>
      <c r="M15" s="13"/>
      <c r="N15" s="12"/>
    </row>
    <row r="16" spans="1:14" ht="15" x14ac:dyDescent="0.2">
      <c r="A16" s="3"/>
      <c r="B16" s="24">
        <v>3601</v>
      </c>
      <c r="C16" s="26">
        <v>43819</v>
      </c>
      <c r="D16" s="26">
        <v>43829</v>
      </c>
      <c r="E16" s="27">
        <v>0</v>
      </c>
      <c r="F16" s="27">
        <v>127588.99</v>
      </c>
      <c r="G16" s="27">
        <v>0</v>
      </c>
      <c r="H16" s="27">
        <v>566518.06999999995</v>
      </c>
      <c r="I16" s="27">
        <v>74140.289999999994</v>
      </c>
      <c r="J16" s="27">
        <v>15328.92</v>
      </c>
      <c r="K16" s="27">
        <f t="shared" si="0"/>
        <v>783576.27</v>
      </c>
      <c r="L16" s="27">
        <f>$D$5-SUM(K$9:K16)</f>
        <v>104003163.5</v>
      </c>
      <c r="M16" s="13"/>
      <c r="N16" s="12"/>
    </row>
    <row r="17" spans="1:14" ht="15" x14ac:dyDescent="0.2">
      <c r="A17" s="3"/>
      <c r="B17" s="24">
        <v>3603</v>
      </c>
      <c r="C17" s="26">
        <v>43819</v>
      </c>
      <c r="D17" s="26">
        <v>43829</v>
      </c>
      <c r="E17" s="27">
        <v>3258671.23</v>
      </c>
      <c r="F17" s="27">
        <v>0</v>
      </c>
      <c r="G17" s="27">
        <v>0</v>
      </c>
      <c r="H17" s="27">
        <v>0</v>
      </c>
      <c r="I17" s="27">
        <v>0</v>
      </c>
      <c r="J17" s="27">
        <v>43805.85</v>
      </c>
      <c r="K17" s="27">
        <f t="shared" si="0"/>
        <v>3302477.08</v>
      </c>
      <c r="L17" s="27">
        <f>$D$5-SUM(K$9:K17)</f>
        <v>100700686.41999999</v>
      </c>
      <c r="M17" s="13"/>
      <c r="N17" s="12"/>
    </row>
    <row r="18" spans="1:14" ht="15" x14ac:dyDescent="0.2">
      <c r="A18" s="3"/>
      <c r="B18" s="24">
        <v>288</v>
      </c>
      <c r="C18" s="26">
        <v>43867</v>
      </c>
      <c r="D18" s="26">
        <v>43878</v>
      </c>
      <c r="E18" s="27">
        <v>0</v>
      </c>
      <c r="F18" s="27">
        <v>0</v>
      </c>
      <c r="G18" s="27">
        <v>0</v>
      </c>
      <c r="H18" s="27">
        <v>191609.83</v>
      </c>
      <c r="I18" s="27">
        <v>954822.89</v>
      </c>
      <c r="J18" s="27">
        <v>0</v>
      </c>
      <c r="K18" s="27">
        <f t="shared" si="0"/>
        <v>1146432.72</v>
      </c>
      <c r="L18" s="27">
        <f>$D$5-SUM(K$9:K18)</f>
        <v>99554253.699999988</v>
      </c>
      <c r="M18" s="13"/>
      <c r="N18" s="12"/>
    </row>
    <row r="19" spans="1:14" ht="15" x14ac:dyDescent="0.2">
      <c r="A19" s="3"/>
      <c r="B19" s="24">
        <v>289</v>
      </c>
      <c r="C19" s="26">
        <v>43867</v>
      </c>
      <c r="D19" s="26">
        <v>43878</v>
      </c>
      <c r="E19" s="27">
        <v>3597871.29</v>
      </c>
      <c r="F19" s="27">
        <v>0</v>
      </c>
      <c r="G19" s="27">
        <v>0</v>
      </c>
      <c r="H19" s="27">
        <v>0</v>
      </c>
      <c r="I19" s="27">
        <v>0</v>
      </c>
      <c r="J19" s="27">
        <v>42828.01</v>
      </c>
      <c r="K19" s="27">
        <f t="shared" si="0"/>
        <v>3640699.3</v>
      </c>
      <c r="L19" s="27">
        <f>$D$5-SUM(K$9:K19)</f>
        <v>95913554.399999991</v>
      </c>
      <c r="M19" s="13"/>
      <c r="N19" s="12"/>
    </row>
    <row r="20" spans="1:14" ht="15" x14ac:dyDescent="0.2">
      <c r="A20" s="3"/>
      <c r="B20" s="24">
        <v>618</v>
      </c>
      <c r="C20" s="26">
        <v>43892</v>
      </c>
      <c r="D20" s="26">
        <v>43921</v>
      </c>
      <c r="E20" s="27">
        <v>0</v>
      </c>
      <c r="F20" s="27">
        <v>1419296.65</v>
      </c>
      <c r="G20" s="27">
        <v>0</v>
      </c>
      <c r="H20" s="27">
        <v>0</v>
      </c>
      <c r="I20" s="27">
        <v>800753.18</v>
      </c>
      <c r="J20" s="27">
        <v>0</v>
      </c>
      <c r="K20" s="27">
        <f t="shared" si="0"/>
        <v>2220049.83</v>
      </c>
      <c r="L20" s="27">
        <f>$D$5-SUM(K$9:K20)</f>
        <v>93693504.569999993</v>
      </c>
      <c r="M20" s="13"/>
      <c r="N20" s="12"/>
    </row>
    <row r="21" spans="1:14" ht="15" x14ac:dyDescent="0.2">
      <c r="A21" s="3"/>
      <c r="B21" s="24">
        <v>618</v>
      </c>
      <c r="C21" s="26">
        <v>43892</v>
      </c>
      <c r="D21" s="26">
        <v>43936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201556.32</v>
      </c>
      <c r="K21" s="27">
        <f t="shared" si="0"/>
        <v>201556.32</v>
      </c>
      <c r="L21" s="27">
        <f>$D$5-SUM(K$9:K21)</f>
        <v>93491948.25</v>
      </c>
      <c r="M21" s="13"/>
      <c r="N21" s="12"/>
    </row>
    <row r="22" spans="1:14" ht="15" x14ac:dyDescent="0.2">
      <c r="A22" s="3"/>
      <c r="B22" s="24">
        <v>856</v>
      </c>
      <c r="C22" s="26">
        <v>43916</v>
      </c>
      <c r="D22" s="26">
        <v>43921</v>
      </c>
      <c r="E22" s="27">
        <v>0</v>
      </c>
      <c r="F22" s="27">
        <v>776190.53</v>
      </c>
      <c r="G22" s="27">
        <v>0</v>
      </c>
      <c r="H22" s="27">
        <v>0</v>
      </c>
      <c r="I22" s="27">
        <v>0</v>
      </c>
      <c r="J22" s="27">
        <v>0</v>
      </c>
      <c r="K22" s="27">
        <f t="shared" si="0"/>
        <v>776190.53</v>
      </c>
      <c r="L22" s="27">
        <f>$D$5-SUM(K$9:K22)</f>
        <v>92715757.719999999</v>
      </c>
      <c r="M22" s="13"/>
      <c r="N22" s="12"/>
    </row>
    <row r="23" spans="1:14" ht="15" x14ac:dyDescent="0.2">
      <c r="A23" s="3"/>
      <c r="B23" s="24">
        <v>856</v>
      </c>
      <c r="C23" s="26">
        <v>43916</v>
      </c>
      <c r="D23" s="26">
        <v>43936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122773.16</v>
      </c>
      <c r="K23" s="27">
        <f t="shared" si="0"/>
        <v>122773.16</v>
      </c>
      <c r="L23" s="27">
        <f>$D$5-SUM(K$9:K23)</f>
        <v>92592984.559999987</v>
      </c>
      <c r="M23" s="13"/>
      <c r="N23" s="12"/>
    </row>
    <row r="24" spans="1:14" ht="15" x14ac:dyDescent="0.2">
      <c r="A24" s="3"/>
      <c r="B24" s="24">
        <v>857</v>
      </c>
      <c r="C24" s="26">
        <v>43916</v>
      </c>
      <c r="D24" s="26">
        <v>43921</v>
      </c>
      <c r="E24" s="27">
        <v>0</v>
      </c>
      <c r="F24" s="27">
        <v>0</v>
      </c>
      <c r="G24" s="27">
        <v>0</v>
      </c>
      <c r="H24" s="27">
        <v>237432.87</v>
      </c>
      <c r="I24" s="27">
        <v>1148321.55</v>
      </c>
      <c r="J24" s="27">
        <v>0</v>
      </c>
      <c r="K24" s="27">
        <f t="shared" si="0"/>
        <v>1385754.42</v>
      </c>
      <c r="L24" s="27">
        <f>$D$5-SUM(K$9:K24)</f>
        <v>91207230.139999986</v>
      </c>
      <c r="M24" s="13"/>
      <c r="N24" s="12"/>
    </row>
    <row r="25" spans="1:14" ht="15" x14ac:dyDescent="0.2">
      <c r="A25" s="3"/>
      <c r="B25" s="24">
        <v>872</v>
      </c>
      <c r="C25" s="26">
        <v>43920</v>
      </c>
      <c r="D25" s="26">
        <v>43929</v>
      </c>
      <c r="E25" s="27">
        <v>5303602.6100000003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f t="shared" si="0"/>
        <v>5303602.6100000003</v>
      </c>
      <c r="L25" s="27">
        <f>$D$5-SUM(K$9:K25)</f>
        <v>85903627.530000001</v>
      </c>
      <c r="M25" s="13"/>
      <c r="N25" s="12"/>
    </row>
    <row r="26" spans="1:14" ht="15" x14ac:dyDescent="0.2">
      <c r="A26" s="3"/>
      <c r="B26" s="24">
        <v>872</v>
      </c>
      <c r="C26" s="26">
        <v>43920</v>
      </c>
      <c r="D26" s="26">
        <v>43936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18844.810000000001</v>
      </c>
      <c r="K26" s="27">
        <f t="shared" si="0"/>
        <v>18844.810000000001</v>
      </c>
      <c r="L26" s="27">
        <f>$D$5-SUM(K$9:K26)</f>
        <v>85884782.719999999</v>
      </c>
      <c r="M26" s="13"/>
      <c r="N26" s="12"/>
    </row>
    <row r="27" spans="1:14" ht="15" x14ac:dyDescent="0.2">
      <c r="A27" s="3"/>
      <c r="B27" s="24">
        <v>1070</v>
      </c>
      <c r="C27" s="26">
        <v>43938</v>
      </c>
      <c r="D27" s="26">
        <v>43951</v>
      </c>
      <c r="E27" s="27">
        <v>4098238.4</v>
      </c>
      <c r="F27" s="27">
        <v>0</v>
      </c>
      <c r="G27" s="27">
        <v>0</v>
      </c>
      <c r="H27" s="27">
        <v>0</v>
      </c>
      <c r="I27" s="27">
        <v>0</v>
      </c>
      <c r="J27" s="27">
        <v>14561.88</v>
      </c>
      <c r="K27" s="27">
        <f t="shared" si="0"/>
        <v>4112800.28</v>
      </c>
      <c r="L27" s="27">
        <f>$D$5-SUM(K$9:K27)</f>
        <v>81771982.439999998</v>
      </c>
      <c r="M27" s="13"/>
      <c r="N27" s="12"/>
    </row>
    <row r="28" spans="1:14" ht="15" x14ac:dyDescent="0.2">
      <c r="A28" s="3"/>
      <c r="B28" s="24">
        <v>1115</v>
      </c>
      <c r="C28" s="26">
        <v>43944</v>
      </c>
      <c r="D28" s="26">
        <v>43951</v>
      </c>
      <c r="E28" s="27">
        <v>0</v>
      </c>
      <c r="F28" s="27">
        <v>0</v>
      </c>
      <c r="G28" s="27">
        <v>0</v>
      </c>
      <c r="H28" s="27">
        <v>1110459.8400000001</v>
      </c>
      <c r="I28" s="27">
        <v>198495.61</v>
      </c>
      <c r="J28" s="27">
        <v>0</v>
      </c>
      <c r="K28" s="27">
        <f t="shared" si="0"/>
        <v>1308955.4500000002</v>
      </c>
      <c r="L28" s="27">
        <f>$D$5-SUM(K$9:K28)</f>
        <v>80463026.98999998</v>
      </c>
      <c r="M28" s="13"/>
      <c r="N28" s="12"/>
    </row>
    <row r="29" spans="1:14" ht="15" x14ac:dyDescent="0.2">
      <c r="A29" s="3"/>
      <c r="B29" s="24">
        <v>1236</v>
      </c>
      <c r="C29" s="26">
        <v>43955</v>
      </c>
      <c r="D29" s="26">
        <v>43959</v>
      </c>
      <c r="E29" s="27">
        <v>0</v>
      </c>
      <c r="F29" s="27">
        <v>680851.72</v>
      </c>
      <c r="G29" s="27">
        <v>0</v>
      </c>
      <c r="H29" s="27">
        <v>0</v>
      </c>
      <c r="I29" s="27">
        <v>0</v>
      </c>
      <c r="J29" s="27">
        <v>99988.33</v>
      </c>
      <c r="K29" s="27">
        <f t="shared" si="0"/>
        <v>780840.04999999993</v>
      </c>
      <c r="L29" s="27">
        <f>$D$5-SUM(K$9:K29)</f>
        <v>79682186.939999998</v>
      </c>
      <c r="M29" s="13"/>
      <c r="N29" s="12"/>
    </row>
    <row r="30" spans="1:14" ht="15" x14ac:dyDescent="0.2">
      <c r="A30" s="3"/>
      <c r="B30" s="24">
        <v>1336</v>
      </c>
      <c r="C30" s="26">
        <v>43964</v>
      </c>
      <c r="D30" s="26">
        <v>43971</v>
      </c>
      <c r="E30" s="27">
        <v>1887366.26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f t="shared" si="0"/>
        <v>1887366.26</v>
      </c>
      <c r="L30" s="27">
        <f>$D$5-SUM(K$9:K30)</f>
        <v>77794820.679999992</v>
      </c>
      <c r="M30" s="13"/>
      <c r="N30" s="12"/>
    </row>
    <row r="31" spans="1:14" ht="15" x14ac:dyDescent="0.2">
      <c r="A31" s="3"/>
      <c r="B31" s="24">
        <v>1336</v>
      </c>
      <c r="C31" s="26">
        <v>43964</v>
      </c>
      <c r="D31" s="26">
        <v>43997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39394.17</v>
      </c>
      <c r="K31" s="27">
        <f t="shared" si="0"/>
        <v>39394.17</v>
      </c>
      <c r="L31" s="27">
        <f>$D$5-SUM(K$9:K31)</f>
        <v>77755426.50999999</v>
      </c>
      <c r="M31" s="13"/>
      <c r="N31" s="12"/>
    </row>
    <row r="32" spans="1:14" ht="15" x14ac:dyDescent="0.2">
      <c r="A32" s="3"/>
      <c r="B32" s="24">
        <v>1502</v>
      </c>
      <c r="C32" s="26">
        <v>43980</v>
      </c>
      <c r="D32" s="26">
        <v>43987</v>
      </c>
      <c r="E32" s="27">
        <v>0</v>
      </c>
      <c r="F32" s="27">
        <v>3313186.18</v>
      </c>
      <c r="G32" s="27">
        <v>0</v>
      </c>
      <c r="H32" s="27">
        <v>1435485.82</v>
      </c>
      <c r="I32" s="27">
        <v>195976.4</v>
      </c>
      <c r="J32" s="27">
        <v>0</v>
      </c>
      <c r="K32" s="27">
        <f t="shared" si="0"/>
        <v>4944648.4000000004</v>
      </c>
      <c r="L32" s="27">
        <f>$D$5-SUM(K$9:K32)</f>
        <v>72810778.109999985</v>
      </c>
      <c r="M32" s="13"/>
      <c r="N32" s="12"/>
    </row>
    <row r="33" spans="1:14" ht="15" x14ac:dyDescent="0.2">
      <c r="A33" s="3"/>
      <c r="B33" s="24">
        <v>1502</v>
      </c>
      <c r="C33" s="26">
        <v>43980</v>
      </c>
      <c r="D33" s="26">
        <v>43997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553377.93999999994</v>
      </c>
      <c r="K33" s="27">
        <f t="shared" si="0"/>
        <v>553377.93999999994</v>
      </c>
      <c r="L33" s="27">
        <f>$D$5-SUM(K$9:K33)</f>
        <v>72257400.169999987</v>
      </c>
      <c r="M33" s="13"/>
      <c r="N33" s="12"/>
    </row>
    <row r="34" spans="1:14" ht="15" x14ac:dyDescent="0.2">
      <c r="A34" s="3"/>
      <c r="B34" s="24">
        <v>1639</v>
      </c>
      <c r="C34" s="26">
        <v>43991</v>
      </c>
      <c r="D34" s="26">
        <v>43997</v>
      </c>
      <c r="E34" s="27">
        <v>2407571.9700000002</v>
      </c>
      <c r="F34" s="27">
        <v>0</v>
      </c>
      <c r="G34" s="27">
        <v>0</v>
      </c>
      <c r="H34" s="27">
        <v>0</v>
      </c>
      <c r="I34" s="27">
        <v>0</v>
      </c>
      <c r="J34" s="27">
        <v>257401.47</v>
      </c>
      <c r="K34" s="27">
        <f t="shared" si="0"/>
        <v>2664973.4400000004</v>
      </c>
      <c r="L34" s="27">
        <f>$D$5-SUM(K$9:K34)</f>
        <v>69592426.729999989</v>
      </c>
      <c r="M34" s="13"/>
      <c r="N34" s="12"/>
    </row>
    <row r="35" spans="1:14" ht="15" x14ac:dyDescent="0.2">
      <c r="A35" s="3"/>
      <c r="B35" s="24">
        <v>1807</v>
      </c>
      <c r="C35" s="26">
        <v>44006</v>
      </c>
      <c r="D35" s="26">
        <v>44012</v>
      </c>
      <c r="E35" s="27">
        <v>0</v>
      </c>
      <c r="F35" s="27">
        <v>510946.22</v>
      </c>
      <c r="G35" s="27">
        <v>0</v>
      </c>
      <c r="H35" s="27">
        <v>0</v>
      </c>
      <c r="I35" s="27">
        <v>271150.21000000002</v>
      </c>
      <c r="J35" s="27">
        <v>93217.84</v>
      </c>
      <c r="K35" s="27">
        <f t="shared" si="0"/>
        <v>875314.2699999999</v>
      </c>
      <c r="L35" s="27">
        <f>$D$5-SUM(K$9:K35)</f>
        <v>68717112.459999993</v>
      </c>
      <c r="M35" s="13"/>
      <c r="N35" s="12"/>
    </row>
    <row r="36" spans="1:14" ht="15" x14ac:dyDescent="0.2">
      <c r="A36" s="3"/>
      <c r="B36" s="24">
        <v>1931</v>
      </c>
      <c r="C36" s="26">
        <v>44015</v>
      </c>
      <c r="D36" s="26">
        <v>44026</v>
      </c>
      <c r="E36" s="27">
        <v>1419422.39</v>
      </c>
      <c r="F36" s="27">
        <v>0</v>
      </c>
      <c r="G36" s="27">
        <v>0</v>
      </c>
      <c r="H36" s="27">
        <v>0</v>
      </c>
      <c r="I36" s="27">
        <v>0</v>
      </c>
      <c r="J36" s="27">
        <v>180125.63</v>
      </c>
      <c r="K36" s="27">
        <f t="shared" si="0"/>
        <v>1599548.02</v>
      </c>
      <c r="L36" s="27">
        <f>$D$5-SUM(K$9:K36)</f>
        <v>67117564.439999998</v>
      </c>
      <c r="M36" s="13"/>
      <c r="N36" s="12"/>
    </row>
    <row r="37" spans="1:14" ht="15" x14ac:dyDescent="0.2">
      <c r="A37" s="3"/>
      <c r="B37" s="24">
        <v>2132</v>
      </c>
      <c r="C37" s="26">
        <v>44034</v>
      </c>
      <c r="D37" s="26">
        <v>44043</v>
      </c>
      <c r="E37" s="27">
        <v>0</v>
      </c>
      <c r="F37" s="27">
        <v>195905.97</v>
      </c>
      <c r="G37" s="27">
        <v>0</v>
      </c>
      <c r="H37" s="27">
        <v>0</v>
      </c>
      <c r="I37" s="27">
        <v>1153021.6599999999</v>
      </c>
      <c r="J37" s="27">
        <v>0</v>
      </c>
      <c r="K37" s="27">
        <f t="shared" si="0"/>
        <v>1348927.63</v>
      </c>
      <c r="L37" s="27">
        <f>$D$5-SUM(K$9:K37)</f>
        <v>65768636.809999987</v>
      </c>
      <c r="M37" s="13"/>
      <c r="N37" s="12"/>
    </row>
    <row r="38" spans="1:14" ht="15" x14ac:dyDescent="0.2">
      <c r="A38" s="3"/>
      <c r="B38" s="24">
        <v>2132</v>
      </c>
      <c r="C38" s="26">
        <v>44034</v>
      </c>
      <c r="D38" s="26">
        <v>44089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60681.35</v>
      </c>
      <c r="K38" s="27">
        <f t="shared" si="0"/>
        <v>60681.35</v>
      </c>
      <c r="L38" s="27">
        <f>$D$5-SUM(K$9:K38)</f>
        <v>65707955.459999986</v>
      </c>
      <c r="M38" s="13"/>
      <c r="N38" s="12"/>
    </row>
    <row r="39" spans="1:14" ht="15" x14ac:dyDescent="0.2">
      <c r="A39" s="3"/>
      <c r="B39" s="24">
        <v>2252</v>
      </c>
      <c r="C39" s="26">
        <v>44048</v>
      </c>
      <c r="D39" s="26">
        <v>44060</v>
      </c>
      <c r="E39" s="27">
        <v>2886371.58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f t="shared" si="0"/>
        <v>2886371.58</v>
      </c>
      <c r="L39" s="27">
        <f>$D$5-SUM(K$9:K39)</f>
        <v>62821583.879999988</v>
      </c>
      <c r="M39" s="13"/>
      <c r="N39" s="12"/>
    </row>
    <row r="40" spans="1:14" ht="15" x14ac:dyDescent="0.2">
      <c r="A40" s="3"/>
      <c r="B40" s="24">
        <v>2252</v>
      </c>
      <c r="C40" s="26">
        <v>44048</v>
      </c>
      <c r="D40" s="26">
        <v>44089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386957.98</v>
      </c>
      <c r="K40" s="27">
        <f t="shared" si="0"/>
        <v>386957.98</v>
      </c>
      <c r="L40" s="27">
        <f>$D$5-SUM(K$9:K40)</f>
        <v>62434625.899999991</v>
      </c>
      <c r="M40" s="13"/>
      <c r="N40" s="12"/>
    </row>
    <row r="41" spans="1:14" ht="15" x14ac:dyDescent="0.2">
      <c r="A41" s="3"/>
      <c r="B41" s="24">
        <v>2585</v>
      </c>
      <c r="C41" s="26">
        <v>44082</v>
      </c>
      <c r="D41" s="26">
        <v>44089</v>
      </c>
      <c r="E41" s="27">
        <v>3578876.1</v>
      </c>
      <c r="F41" s="27">
        <v>0</v>
      </c>
      <c r="G41" s="27">
        <v>0</v>
      </c>
      <c r="H41" s="27">
        <v>0</v>
      </c>
      <c r="I41" s="27">
        <v>0</v>
      </c>
      <c r="J41" s="27">
        <v>325181.13</v>
      </c>
      <c r="K41" s="27">
        <f t="shared" ref="K41:K64" si="1">SUM(E41:J41)</f>
        <v>3904057.23</v>
      </c>
      <c r="L41" s="27">
        <f>$D$5-SUM(K$9:K41)</f>
        <v>58530568.669999994</v>
      </c>
      <c r="M41" s="13"/>
      <c r="N41" s="12"/>
    </row>
    <row r="42" spans="1:14" ht="15" x14ac:dyDescent="0.2">
      <c r="A42" s="3"/>
      <c r="B42" s="24">
        <v>2586</v>
      </c>
      <c r="C42" s="26">
        <v>44082</v>
      </c>
      <c r="D42" s="26">
        <v>44089</v>
      </c>
      <c r="E42" s="27">
        <v>0</v>
      </c>
      <c r="F42" s="27">
        <v>1215082.99</v>
      </c>
      <c r="G42" s="27">
        <v>0</v>
      </c>
      <c r="H42" s="27">
        <v>884971.61</v>
      </c>
      <c r="I42" s="27">
        <v>568769.56999999995</v>
      </c>
      <c r="J42" s="27">
        <v>199722.26</v>
      </c>
      <c r="K42" s="27">
        <f t="shared" si="1"/>
        <v>2868546.4299999997</v>
      </c>
      <c r="L42" s="27">
        <f>$D$5-SUM(K$9:K42)</f>
        <v>55662022.239999995</v>
      </c>
      <c r="M42" s="13"/>
      <c r="N42" s="12"/>
    </row>
    <row r="43" spans="1:14" ht="15" x14ac:dyDescent="0.2">
      <c r="A43" s="3"/>
      <c r="B43" s="24">
        <v>2846</v>
      </c>
      <c r="C43" s="26">
        <v>44110</v>
      </c>
      <c r="D43" s="26">
        <v>44119</v>
      </c>
      <c r="E43" s="27">
        <v>3123407.34</v>
      </c>
      <c r="F43" s="27">
        <v>0</v>
      </c>
      <c r="G43" s="27">
        <v>0</v>
      </c>
      <c r="H43" s="27">
        <v>0</v>
      </c>
      <c r="I43" s="27">
        <v>0</v>
      </c>
      <c r="J43" s="27">
        <v>406984.44</v>
      </c>
      <c r="K43" s="27">
        <f t="shared" si="1"/>
        <v>3530391.78</v>
      </c>
      <c r="L43" s="27">
        <f>$D$5-SUM(K$9:K43)</f>
        <v>52131630.459999993</v>
      </c>
      <c r="M43" s="13"/>
      <c r="N43" s="12"/>
    </row>
    <row r="44" spans="1:14" ht="15" x14ac:dyDescent="0.2">
      <c r="A44" s="3"/>
      <c r="B44" s="24">
        <v>3199</v>
      </c>
      <c r="C44" s="26">
        <v>44148</v>
      </c>
      <c r="D44" s="26">
        <v>44151</v>
      </c>
      <c r="E44" s="27">
        <v>0</v>
      </c>
      <c r="F44" s="27">
        <v>473148.02</v>
      </c>
      <c r="G44" s="27">
        <v>0</v>
      </c>
      <c r="H44" s="27">
        <v>0</v>
      </c>
      <c r="I44" s="27">
        <v>0</v>
      </c>
      <c r="J44" s="27">
        <v>75902.350000000006</v>
      </c>
      <c r="K44" s="27">
        <f t="shared" si="1"/>
        <v>549050.37</v>
      </c>
      <c r="L44" s="27">
        <f>$D$5-SUM(K$9:K44)</f>
        <v>51582580.089999989</v>
      </c>
      <c r="M44" s="13"/>
      <c r="N44" s="12"/>
    </row>
    <row r="45" spans="1:14" ht="15" x14ac:dyDescent="0.2">
      <c r="A45" s="3"/>
      <c r="B45" s="24">
        <v>3199</v>
      </c>
      <c r="C45" s="26">
        <v>44148</v>
      </c>
      <c r="D45" s="26">
        <v>44165</v>
      </c>
      <c r="E45" s="27">
        <v>0</v>
      </c>
      <c r="F45" s="27">
        <v>0</v>
      </c>
      <c r="G45" s="27">
        <v>0</v>
      </c>
      <c r="H45" s="27">
        <v>0</v>
      </c>
      <c r="I45" s="27">
        <v>484978.59</v>
      </c>
      <c r="J45" s="27">
        <v>0</v>
      </c>
      <c r="K45" s="27">
        <f t="shared" si="1"/>
        <v>484978.59</v>
      </c>
      <c r="L45" s="27">
        <f>$D$5-SUM(K$9:K45)</f>
        <v>51097601.499999985</v>
      </c>
      <c r="M45" s="13"/>
      <c r="N45" s="12"/>
    </row>
    <row r="46" spans="1:14" ht="15" x14ac:dyDescent="0.2">
      <c r="A46" s="3"/>
      <c r="B46" s="24">
        <v>3200</v>
      </c>
      <c r="C46" s="26">
        <v>44148</v>
      </c>
      <c r="D46" s="26">
        <v>44151</v>
      </c>
      <c r="E46" s="27">
        <v>3726021.92</v>
      </c>
      <c r="F46" s="27">
        <v>0</v>
      </c>
      <c r="G46" s="27">
        <v>0</v>
      </c>
      <c r="H46" s="27">
        <v>0</v>
      </c>
      <c r="I46" s="27">
        <v>0</v>
      </c>
      <c r="J46" s="27">
        <v>337548.92</v>
      </c>
      <c r="K46" s="27">
        <f t="shared" si="1"/>
        <v>4063570.84</v>
      </c>
      <c r="L46" s="27">
        <f>$D$5-SUM(K$9:K46)</f>
        <v>47034030.659999982</v>
      </c>
      <c r="M46" s="13"/>
      <c r="N46" s="12"/>
    </row>
    <row r="47" spans="1:14" ht="15" x14ac:dyDescent="0.2">
      <c r="A47" s="3"/>
      <c r="B47" s="24">
        <v>3277</v>
      </c>
      <c r="C47" s="26">
        <v>44158</v>
      </c>
      <c r="D47" s="26">
        <v>44165</v>
      </c>
      <c r="E47" s="27">
        <v>0</v>
      </c>
      <c r="F47" s="27">
        <v>180947.09</v>
      </c>
      <c r="G47" s="27">
        <v>0</v>
      </c>
      <c r="H47" s="27">
        <v>0</v>
      </c>
      <c r="I47" s="27">
        <v>870693.83</v>
      </c>
      <c r="J47" s="27">
        <v>29605.37</v>
      </c>
      <c r="K47" s="27">
        <f t="shared" si="1"/>
        <v>1081246.29</v>
      </c>
      <c r="L47" s="27">
        <f>$D$5-SUM(K$9:K47)</f>
        <v>45952784.369999975</v>
      </c>
      <c r="M47" s="13"/>
      <c r="N47" s="12"/>
    </row>
    <row r="48" spans="1:14" ht="15" x14ac:dyDescent="0.2">
      <c r="A48" s="3"/>
      <c r="B48" s="24">
        <v>3524</v>
      </c>
      <c r="C48" s="26">
        <v>44180</v>
      </c>
      <c r="D48" s="26">
        <v>44195</v>
      </c>
      <c r="E48" s="27">
        <v>3443699.16</v>
      </c>
      <c r="F48" s="27">
        <v>0</v>
      </c>
      <c r="G48" s="27">
        <v>0</v>
      </c>
      <c r="H48" s="27">
        <v>0</v>
      </c>
      <c r="I48" s="27">
        <v>0</v>
      </c>
      <c r="J48" s="27">
        <v>506199.26</v>
      </c>
      <c r="K48" s="27">
        <f t="shared" si="1"/>
        <v>3949898.42</v>
      </c>
      <c r="L48" s="27">
        <f>$D$5-SUM(K$9:K48)</f>
        <v>42002885.949999973</v>
      </c>
      <c r="M48" s="13"/>
      <c r="N48" s="12"/>
    </row>
    <row r="49" spans="1:14" ht="15" x14ac:dyDescent="0.2">
      <c r="A49" s="3"/>
      <c r="B49" s="24">
        <v>388</v>
      </c>
      <c r="C49" s="26">
        <v>44239</v>
      </c>
      <c r="D49" s="26">
        <v>44253</v>
      </c>
      <c r="E49" s="27">
        <v>6496880.6500000004</v>
      </c>
      <c r="F49" s="27">
        <v>0</v>
      </c>
      <c r="G49" s="27">
        <v>0</v>
      </c>
      <c r="H49" s="27">
        <v>0</v>
      </c>
      <c r="I49" s="27">
        <v>0</v>
      </c>
      <c r="J49" s="27">
        <v>346914.35</v>
      </c>
      <c r="K49" s="27">
        <f t="shared" si="1"/>
        <v>6843795</v>
      </c>
      <c r="L49" s="27">
        <f>$D$5-SUM(K$9:K49)</f>
        <v>35159090.949999973</v>
      </c>
      <c r="M49" s="13"/>
      <c r="N49" s="12"/>
    </row>
    <row r="50" spans="1:14" ht="15" x14ac:dyDescent="0.2">
      <c r="A50" s="3"/>
      <c r="B50" s="24">
        <v>389</v>
      </c>
      <c r="C50" s="26">
        <v>44239</v>
      </c>
      <c r="D50" s="26">
        <v>44253</v>
      </c>
      <c r="E50" s="27">
        <v>0</v>
      </c>
      <c r="F50" s="27">
        <v>72690.600000000006</v>
      </c>
      <c r="G50" s="27">
        <v>0</v>
      </c>
      <c r="H50" s="27">
        <v>0</v>
      </c>
      <c r="I50" s="27">
        <v>1984325.35</v>
      </c>
      <c r="J50" s="27">
        <v>56391.199999999997</v>
      </c>
      <c r="K50" s="27">
        <f t="shared" si="1"/>
        <v>2113407.1500000004</v>
      </c>
      <c r="L50" s="27">
        <f>$D$5-SUM(K$9:K50)</f>
        <v>33045683.799999967</v>
      </c>
      <c r="M50" s="13"/>
      <c r="N50" s="12"/>
    </row>
    <row r="51" spans="1:14" ht="15" x14ac:dyDescent="0.2">
      <c r="A51" s="3"/>
      <c r="B51" s="24">
        <v>389</v>
      </c>
      <c r="C51" s="26">
        <v>44239</v>
      </c>
      <c r="D51" s="26">
        <v>44267</v>
      </c>
      <c r="E51" s="27">
        <v>0</v>
      </c>
      <c r="F51" s="27">
        <v>0</v>
      </c>
      <c r="G51" s="27">
        <v>0</v>
      </c>
      <c r="H51" s="27">
        <v>190845.65</v>
      </c>
      <c r="I51" s="27">
        <v>0</v>
      </c>
      <c r="J51" s="27">
        <v>0</v>
      </c>
      <c r="K51" s="27">
        <f t="shared" si="1"/>
        <v>190845.65</v>
      </c>
      <c r="L51" s="27">
        <f>$D$5-SUM(K$9:K51)</f>
        <v>32854838.149999961</v>
      </c>
      <c r="M51" s="13"/>
      <c r="N51" s="12"/>
    </row>
    <row r="52" spans="1:14" ht="15" x14ac:dyDescent="0.2">
      <c r="A52" s="3"/>
      <c r="B52" s="24">
        <v>487</v>
      </c>
      <c r="C52" s="26">
        <v>44251</v>
      </c>
      <c r="D52" s="26">
        <v>44253</v>
      </c>
      <c r="E52" s="27">
        <v>2947481.76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f t="shared" si="1"/>
        <v>2947481.76</v>
      </c>
      <c r="L52" s="27">
        <f>$D$5-SUM(K$9:K52)</f>
        <v>29907356.389999956</v>
      </c>
      <c r="M52" s="13"/>
      <c r="N52" s="12"/>
    </row>
    <row r="53" spans="1:14" ht="15" x14ac:dyDescent="0.2">
      <c r="A53" s="3"/>
      <c r="B53" s="24">
        <v>610</v>
      </c>
      <c r="C53" s="26">
        <v>44260</v>
      </c>
      <c r="D53" s="26">
        <v>44267</v>
      </c>
      <c r="E53" s="27">
        <v>2294131.5099999998</v>
      </c>
      <c r="F53" s="27">
        <v>0</v>
      </c>
      <c r="G53" s="27">
        <v>0</v>
      </c>
      <c r="H53" s="27">
        <v>0</v>
      </c>
      <c r="I53" s="27">
        <v>0</v>
      </c>
      <c r="J53" s="27">
        <v>147903.91</v>
      </c>
      <c r="K53" s="27">
        <f t="shared" si="1"/>
        <v>2442035.42</v>
      </c>
      <c r="L53" s="27">
        <f>$D$5-SUM(K$9:K53)</f>
        <v>27465320.969999954</v>
      </c>
      <c r="M53" s="13"/>
      <c r="N53" s="12"/>
    </row>
    <row r="54" spans="1:14" ht="15" x14ac:dyDescent="0.2">
      <c r="A54" s="3"/>
      <c r="B54" s="24">
        <v>611</v>
      </c>
      <c r="C54" s="26">
        <v>44260</v>
      </c>
      <c r="D54" s="26">
        <v>44267</v>
      </c>
      <c r="E54" s="27">
        <v>0</v>
      </c>
      <c r="F54" s="27">
        <v>568461.5</v>
      </c>
      <c r="G54" s="27">
        <v>0</v>
      </c>
      <c r="H54" s="27">
        <v>256778.04</v>
      </c>
      <c r="I54" s="27">
        <v>421808.66</v>
      </c>
      <c r="J54" s="27">
        <v>97574.24</v>
      </c>
      <c r="K54" s="27">
        <f t="shared" si="1"/>
        <v>1344622.44</v>
      </c>
      <c r="L54" s="27">
        <f>$D$5-SUM(K$9:K54)</f>
        <v>26120698.529999956</v>
      </c>
      <c r="M54" s="13"/>
      <c r="N54" s="12"/>
    </row>
    <row r="55" spans="1:14" ht="15" x14ac:dyDescent="0.2">
      <c r="A55" s="3"/>
      <c r="B55" s="24">
        <v>782</v>
      </c>
      <c r="C55" s="26">
        <v>44279</v>
      </c>
      <c r="D55" s="26">
        <v>44286</v>
      </c>
      <c r="E55" s="27">
        <v>3204332.01</v>
      </c>
      <c r="F55" s="27">
        <v>0</v>
      </c>
      <c r="G55" s="27">
        <v>0</v>
      </c>
      <c r="H55" s="27">
        <v>0</v>
      </c>
      <c r="I55" s="27">
        <v>0</v>
      </c>
      <c r="J55" s="27">
        <v>325504.45</v>
      </c>
      <c r="K55" s="27">
        <f t="shared" si="1"/>
        <v>3529836.46</v>
      </c>
      <c r="L55" s="27">
        <f>$D$5-SUM(K$9:K55)</f>
        <v>22590862.069999963</v>
      </c>
      <c r="M55" s="13"/>
      <c r="N55" s="12"/>
    </row>
    <row r="56" spans="1:14" ht="15" x14ac:dyDescent="0.2">
      <c r="A56" s="3"/>
      <c r="B56" s="24">
        <v>828</v>
      </c>
      <c r="C56" s="26">
        <v>44281</v>
      </c>
      <c r="D56" s="26">
        <v>44286</v>
      </c>
      <c r="E56" s="27"/>
      <c r="F56" s="27">
        <v>51832.73</v>
      </c>
      <c r="G56" s="27">
        <v>0</v>
      </c>
      <c r="H56" s="27">
        <v>0</v>
      </c>
      <c r="I56" s="27">
        <v>706367.24</v>
      </c>
      <c r="J56" s="27">
        <v>8896.8799999999992</v>
      </c>
      <c r="K56" s="27">
        <f t="shared" si="1"/>
        <v>767096.85</v>
      </c>
      <c r="L56" s="27">
        <f>$D$5-SUM(K$9:K56)</f>
        <v>21823765.219999969</v>
      </c>
      <c r="M56" s="13"/>
      <c r="N56" s="12"/>
    </row>
    <row r="57" spans="1:14" ht="15" x14ac:dyDescent="0.2">
      <c r="A57" s="3"/>
      <c r="B57" s="24">
        <v>1319</v>
      </c>
      <c r="C57" s="26">
        <v>44328</v>
      </c>
      <c r="D57" s="26">
        <v>44333</v>
      </c>
      <c r="E57" s="27">
        <v>2504306.25</v>
      </c>
      <c r="F57" s="27">
        <v>0</v>
      </c>
      <c r="G57" s="27">
        <v>0</v>
      </c>
      <c r="H57" s="27">
        <v>0</v>
      </c>
      <c r="I57" s="27">
        <v>0</v>
      </c>
      <c r="J57" s="27">
        <v>174363.13999999998</v>
      </c>
      <c r="K57" s="27">
        <f t="shared" si="1"/>
        <v>2678669.39</v>
      </c>
      <c r="L57" s="27">
        <f>$D$5-SUM(K$9:K57)</f>
        <v>19145095.829999968</v>
      </c>
      <c r="M57" s="13"/>
      <c r="N57" s="12"/>
    </row>
    <row r="58" spans="1:14" ht="15" x14ac:dyDescent="0.2">
      <c r="A58" s="3"/>
      <c r="B58" s="24">
        <v>1536</v>
      </c>
      <c r="C58" s="26">
        <v>44347</v>
      </c>
      <c r="D58" s="26">
        <v>44362</v>
      </c>
      <c r="E58" s="27">
        <v>1101094.8799999999</v>
      </c>
      <c r="F58" s="27">
        <v>0</v>
      </c>
      <c r="G58" s="27">
        <v>0</v>
      </c>
      <c r="H58" s="27">
        <v>0</v>
      </c>
      <c r="I58" s="27">
        <v>0</v>
      </c>
      <c r="J58" s="27">
        <v>156231.89000000001</v>
      </c>
      <c r="K58" s="27">
        <f t="shared" si="1"/>
        <v>1257326.77</v>
      </c>
      <c r="L58" s="27">
        <f>$D$5-SUM(K$9:K58)</f>
        <v>17887769.059999973</v>
      </c>
      <c r="M58" s="13"/>
      <c r="N58" s="12"/>
    </row>
    <row r="59" spans="1:14" ht="15" x14ac:dyDescent="0.2">
      <c r="A59" s="3"/>
      <c r="B59" s="24">
        <v>2038</v>
      </c>
      <c r="C59" s="26">
        <v>44383</v>
      </c>
      <c r="D59" s="26">
        <v>44391</v>
      </c>
      <c r="E59" s="27">
        <v>914839.42</v>
      </c>
      <c r="F59" s="27">
        <v>0</v>
      </c>
      <c r="G59" s="27">
        <v>0</v>
      </c>
      <c r="H59" s="27">
        <v>0</v>
      </c>
      <c r="I59" s="27">
        <v>0</v>
      </c>
      <c r="J59" s="27">
        <v>140596.1</v>
      </c>
      <c r="K59" s="27">
        <f t="shared" si="1"/>
        <v>1055435.52</v>
      </c>
      <c r="L59" s="27">
        <f>$D$5-SUM(K$9:K59)</f>
        <v>16832333.539999977</v>
      </c>
      <c r="M59" s="13"/>
      <c r="N59" s="12"/>
    </row>
    <row r="60" spans="1:14" ht="15" x14ac:dyDescent="0.2">
      <c r="A60" s="3"/>
      <c r="B60" s="24">
        <v>2327</v>
      </c>
      <c r="C60" s="26">
        <v>44412</v>
      </c>
      <c r="D60" s="26">
        <v>44421</v>
      </c>
      <c r="E60" s="27">
        <v>835948.96</v>
      </c>
      <c r="F60" s="27">
        <v>0</v>
      </c>
      <c r="G60" s="27">
        <v>0</v>
      </c>
      <c r="H60" s="27">
        <v>0</v>
      </c>
      <c r="I60" s="27">
        <v>0</v>
      </c>
      <c r="J60" s="27">
        <v>63279.76</v>
      </c>
      <c r="K60" s="27">
        <f t="shared" si="1"/>
        <v>899228.72</v>
      </c>
      <c r="L60" s="27">
        <f>$D$5-SUM(K$9:K60)</f>
        <v>15933104.819999978</v>
      </c>
      <c r="M60" s="13"/>
      <c r="N60" s="12"/>
    </row>
    <row r="61" spans="1:14" ht="15" x14ac:dyDescent="0.2">
      <c r="A61" s="3"/>
      <c r="B61" s="24">
        <v>2481</v>
      </c>
      <c r="C61" s="26">
        <v>44425</v>
      </c>
      <c r="D61" s="26">
        <v>44439</v>
      </c>
      <c r="E61" s="27"/>
      <c r="F61" s="27">
        <v>0</v>
      </c>
      <c r="G61" s="27">
        <v>0</v>
      </c>
      <c r="H61" s="27">
        <v>0</v>
      </c>
      <c r="I61" s="27">
        <v>630593.03</v>
      </c>
      <c r="J61" s="27">
        <v>0</v>
      </c>
      <c r="K61" s="27">
        <f t="shared" si="1"/>
        <v>630593.03</v>
      </c>
      <c r="L61" s="27">
        <f>$D$5-SUM(K$9:K61)</f>
        <v>15302511.789999977</v>
      </c>
      <c r="M61" s="13"/>
      <c r="N61" s="12"/>
    </row>
    <row r="62" spans="1:14" ht="15" x14ac:dyDescent="0.2">
      <c r="A62" s="3"/>
      <c r="B62" s="24">
        <v>2614</v>
      </c>
      <c r="C62" s="26">
        <v>44438</v>
      </c>
      <c r="D62" s="26">
        <v>44454</v>
      </c>
      <c r="E62" s="27">
        <v>2702398.17</v>
      </c>
      <c r="F62" s="27">
        <v>0</v>
      </c>
      <c r="G62" s="27">
        <v>0</v>
      </c>
      <c r="H62" s="27">
        <v>0</v>
      </c>
      <c r="I62" s="27">
        <v>0</v>
      </c>
      <c r="J62" s="27">
        <v>21966.29</v>
      </c>
      <c r="K62" s="27">
        <f t="shared" si="1"/>
        <v>2724364.46</v>
      </c>
      <c r="L62" s="27">
        <f>$D$5-SUM(K$9:K62)</f>
        <v>12578147.329999983</v>
      </c>
      <c r="M62" s="13"/>
      <c r="N62" s="12"/>
    </row>
    <row r="63" spans="1:14" ht="15" x14ac:dyDescent="0.2">
      <c r="A63" s="3"/>
      <c r="B63" s="24">
        <v>3064</v>
      </c>
      <c r="C63" s="26">
        <v>44473</v>
      </c>
      <c r="D63" s="26">
        <v>44484</v>
      </c>
      <c r="E63" s="27">
        <v>811258.05</v>
      </c>
      <c r="F63" s="27">
        <v>0</v>
      </c>
      <c r="G63" s="27">
        <v>0</v>
      </c>
      <c r="H63" s="27">
        <v>0</v>
      </c>
      <c r="I63" s="27">
        <v>0</v>
      </c>
      <c r="J63" s="27">
        <v>139053.22</v>
      </c>
      <c r="K63" s="27">
        <f t="shared" si="1"/>
        <v>950311.27</v>
      </c>
      <c r="L63" s="27">
        <f>$D$5-SUM(K$9:K63)</f>
        <v>11627836.059999987</v>
      </c>
      <c r="M63" s="13"/>
      <c r="N63" s="12"/>
    </row>
    <row r="64" spans="1:14" ht="15" x14ac:dyDescent="0.2">
      <c r="A64" s="3"/>
      <c r="B64" s="24">
        <v>3279</v>
      </c>
      <c r="C64" s="26">
        <v>44487</v>
      </c>
      <c r="D64" s="26">
        <v>44498</v>
      </c>
      <c r="E64" s="27">
        <v>0</v>
      </c>
      <c r="F64" s="27">
        <v>29562.82</v>
      </c>
      <c r="G64" s="27">
        <v>0</v>
      </c>
      <c r="H64" s="27">
        <v>0</v>
      </c>
      <c r="I64" s="27">
        <v>0</v>
      </c>
      <c r="J64" s="27">
        <v>0</v>
      </c>
      <c r="K64" s="27">
        <f t="shared" si="1"/>
        <v>29562.82</v>
      </c>
      <c r="L64" s="27">
        <f>$D$5-SUM(K$9:K64)</f>
        <v>11598273.239999995</v>
      </c>
      <c r="M64" s="13"/>
      <c r="N64" s="12"/>
    </row>
    <row r="65" spans="1:14" ht="15" x14ac:dyDescent="0.2">
      <c r="A65" s="3"/>
      <c r="B65" s="24">
        <v>3279</v>
      </c>
      <c r="C65" s="26">
        <v>44487</v>
      </c>
      <c r="D65" s="26">
        <v>44516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5074.34</v>
      </c>
      <c r="K65" s="27">
        <f t="shared" ref="K65" si="2">SUM(E65:J65)</f>
        <v>5074.34</v>
      </c>
      <c r="L65" s="27">
        <f>$D$5-SUM(K$9:K65)</f>
        <v>11593198.899999991</v>
      </c>
      <c r="M65" s="13"/>
      <c r="N65" s="12"/>
    </row>
    <row r="66" spans="1:14" ht="15" x14ac:dyDescent="0.2">
      <c r="A66" s="3"/>
      <c r="B66" s="24">
        <v>3446</v>
      </c>
      <c r="C66" s="26">
        <v>44497</v>
      </c>
      <c r="D66" s="26">
        <v>44516</v>
      </c>
      <c r="E66" s="27">
        <v>589279.23</v>
      </c>
      <c r="F66" s="27">
        <v>0</v>
      </c>
      <c r="G66" s="27">
        <v>0</v>
      </c>
      <c r="H66" s="27">
        <v>0</v>
      </c>
      <c r="I66" s="27">
        <v>0</v>
      </c>
      <c r="J66" s="27">
        <v>93714.32</v>
      </c>
      <c r="K66" s="27">
        <f t="shared" ref="K66:K67" si="3">SUM(E66:J66)</f>
        <v>682993.55</v>
      </c>
      <c r="L66" s="27">
        <f>$D$5-SUM(K$9:K66)</f>
        <v>10910205.349999994</v>
      </c>
      <c r="M66" s="13"/>
      <c r="N66" s="12"/>
    </row>
    <row r="67" spans="1:14" ht="15" x14ac:dyDescent="0.2">
      <c r="A67" s="3"/>
      <c r="B67" s="24">
        <v>3819</v>
      </c>
      <c r="C67" s="26">
        <v>44530</v>
      </c>
      <c r="D67" s="26">
        <v>44544</v>
      </c>
      <c r="E67" s="27">
        <v>376198.53</v>
      </c>
      <c r="F67" s="27">
        <v>0</v>
      </c>
      <c r="G67" s="27">
        <v>0</v>
      </c>
      <c r="H67" s="27">
        <v>0</v>
      </c>
      <c r="I67" s="27">
        <v>0</v>
      </c>
      <c r="J67" s="27">
        <v>59149.09</v>
      </c>
      <c r="K67" s="27">
        <f t="shared" si="3"/>
        <v>435347.62</v>
      </c>
      <c r="L67" s="27">
        <f>$D$5-SUM(K$9:K67)</f>
        <v>10474857.729999989</v>
      </c>
      <c r="M67" s="13"/>
      <c r="N67" s="12"/>
    </row>
    <row r="68" spans="1:14" ht="15" x14ac:dyDescent="0.2">
      <c r="A68" s="3"/>
      <c r="B68" s="24">
        <v>4123</v>
      </c>
      <c r="C68" s="26">
        <v>44557</v>
      </c>
      <c r="D68" s="26">
        <v>44560</v>
      </c>
      <c r="E68" s="27">
        <f>1124451.81</f>
        <v>1124451.81</v>
      </c>
      <c r="F68" s="27">
        <v>0</v>
      </c>
      <c r="G68" s="27">
        <v>0</v>
      </c>
      <c r="H68" s="27">
        <v>0</v>
      </c>
      <c r="I68" s="27">
        <v>0</v>
      </c>
      <c r="J68" s="27">
        <v>149114.23999999999</v>
      </c>
      <c r="K68" s="27">
        <f t="shared" ref="K68:K71" si="4">SUM(E68:J68)</f>
        <v>1273566.05</v>
      </c>
      <c r="L68" s="27">
        <f>$D$5-SUM(K$9:K68)</f>
        <v>9201291.6799999923</v>
      </c>
      <c r="M68" s="13"/>
      <c r="N68" s="12"/>
    </row>
    <row r="69" spans="1:14" ht="15" x14ac:dyDescent="0.2">
      <c r="A69" s="3"/>
      <c r="B69" s="24">
        <v>556</v>
      </c>
      <c r="C69" s="26">
        <v>44615</v>
      </c>
      <c r="D69" s="26">
        <v>44635</v>
      </c>
      <c r="E69" s="27">
        <v>0</v>
      </c>
      <c r="F69" s="27">
        <v>33930</v>
      </c>
      <c r="G69" s="27">
        <v>0</v>
      </c>
      <c r="H69" s="27">
        <v>0</v>
      </c>
      <c r="I69" s="27">
        <v>0</v>
      </c>
      <c r="J69" s="27">
        <v>5823.96</v>
      </c>
      <c r="K69" s="27">
        <f t="shared" si="4"/>
        <v>39753.96</v>
      </c>
      <c r="L69" s="27">
        <f>$D$5-SUM(K$9:K69)</f>
        <v>9161537.7199999988</v>
      </c>
      <c r="M69" s="13"/>
      <c r="N69" s="12"/>
    </row>
    <row r="70" spans="1:14" ht="15" x14ac:dyDescent="0.2">
      <c r="A70" s="3"/>
      <c r="B70" s="24">
        <v>4123</v>
      </c>
      <c r="C70" s="26">
        <v>44557</v>
      </c>
      <c r="D70" s="26">
        <v>44635</v>
      </c>
      <c r="E70" s="27">
        <v>-149114.23999999999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f t="shared" ref="K70" si="5">SUM(E70:J70)</f>
        <v>-149114.23999999999</v>
      </c>
      <c r="L70" s="27">
        <f>$D$5-SUM(K$9:K70)</f>
        <v>9310651.9599999934</v>
      </c>
      <c r="M70" s="13"/>
      <c r="N70" s="12"/>
    </row>
    <row r="71" spans="1:14" ht="15" x14ac:dyDescent="0.2">
      <c r="A71" s="3"/>
      <c r="B71" s="24">
        <v>557</v>
      </c>
      <c r="C71" s="26">
        <v>44615</v>
      </c>
      <c r="D71" s="26">
        <v>44635</v>
      </c>
      <c r="E71" s="27">
        <v>1116627.3899999999</v>
      </c>
      <c r="F71" s="27">
        <v>0</v>
      </c>
      <c r="G71" s="27">
        <v>0</v>
      </c>
      <c r="H71" s="27">
        <v>0</v>
      </c>
      <c r="I71" s="27">
        <v>0</v>
      </c>
      <c r="J71" s="27">
        <v>171638.97</v>
      </c>
      <c r="K71" s="27">
        <f t="shared" si="4"/>
        <v>1288266.3599999999</v>
      </c>
      <c r="L71" s="27">
        <f>$D$5-SUM(K$9:K71)</f>
        <v>8022385.599999994</v>
      </c>
      <c r="M71" s="13"/>
      <c r="N71" s="12"/>
    </row>
    <row r="72" spans="1:14" ht="15" x14ac:dyDescent="0.2">
      <c r="A72" s="3"/>
      <c r="B72" s="24">
        <v>664</v>
      </c>
      <c r="C72" s="26">
        <v>44636</v>
      </c>
      <c r="D72" s="26">
        <v>44651</v>
      </c>
      <c r="E72" s="27">
        <v>820776.51</v>
      </c>
      <c r="F72" s="27">
        <v>0</v>
      </c>
      <c r="G72" s="27">
        <v>0</v>
      </c>
      <c r="H72" s="27">
        <v>0</v>
      </c>
      <c r="I72" s="27">
        <v>0</v>
      </c>
      <c r="J72" s="27">
        <v>124291.74</v>
      </c>
      <c r="K72" s="27">
        <f t="shared" ref="K72" si="6">SUM(E72:J72)</f>
        <v>945068.25</v>
      </c>
      <c r="L72" s="27">
        <f>$D$5-SUM(K$9:K72)</f>
        <v>7077317.349999994</v>
      </c>
      <c r="M72" s="13"/>
      <c r="N72" s="12"/>
    </row>
    <row r="73" spans="1:14" ht="15" x14ac:dyDescent="0.2">
      <c r="A73" s="3"/>
      <c r="B73" s="24">
        <v>889</v>
      </c>
      <c r="C73" s="26">
        <v>44657</v>
      </c>
      <c r="D73" s="26">
        <v>44665</v>
      </c>
      <c r="E73" s="27">
        <v>807147.12</v>
      </c>
      <c r="F73" s="27">
        <v>0</v>
      </c>
      <c r="G73" s="27">
        <v>0</v>
      </c>
      <c r="H73" s="27">
        <v>0</v>
      </c>
      <c r="I73" s="27">
        <v>0</v>
      </c>
      <c r="J73" s="27">
        <v>122512.02</v>
      </c>
      <c r="K73" s="27">
        <f t="shared" ref="K73" si="7">SUM(E73:J73)</f>
        <v>929659.14</v>
      </c>
      <c r="L73" s="27">
        <f>$D$5-SUM(K$9:K73)</f>
        <v>6147658.2099999934</v>
      </c>
      <c r="M73" s="13"/>
      <c r="N73" s="12"/>
    </row>
    <row r="74" spans="1:14" ht="15" x14ac:dyDescent="0.2">
      <c r="A74" s="3"/>
      <c r="B74" s="24">
        <v>1322</v>
      </c>
      <c r="C74" s="26">
        <v>44697</v>
      </c>
      <c r="D74" s="26">
        <v>44712</v>
      </c>
      <c r="E74" s="27">
        <v>1047538.03</v>
      </c>
      <c r="F74" s="27">
        <v>0</v>
      </c>
      <c r="G74" s="27">
        <v>0</v>
      </c>
      <c r="H74" s="27">
        <v>0</v>
      </c>
      <c r="I74" s="27">
        <v>0</v>
      </c>
      <c r="J74" s="27">
        <v>145009.94</v>
      </c>
      <c r="K74" s="27">
        <f t="shared" ref="K74" si="8">SUM(E74:J74)</f>
        <v>1192547.97</v>
      </c>
      <c r="L74" s="27">
        <f>$D$5-SUM(K$9:K74)</f>
        <v>4955110.2399999946</v>
      </c>
      <c r="M74" s="13"/>
      <c r="N74" s="12"/>
    </row>
    <row r="75" spans="1:14" ht="15" x14ac:dyDescent="0.2">
      <c r="A75" s="3"/>
      <c r="B75" s="24">
        <v>1351</v>
      </c>
      <c r="C75" s="26">
        <v>44701</v>
      </c>
      <c r="D75" s="26">
        <v>44712</v>
      </c>
      <c r="E75" s="27">
        <v>0</v>
      </c>
      <c r="F75" s="27">
        <v>0</v>
      </c>
      <c r="G75" s="27">
        <v>561707.16</v>
      </c>
      <c r="H75" s="27">
        <v>0</v>
      </c>
      <c r="I75" s="27">
        <v>142526.85</v>
      </c>
      <c r="J75" s="27">
        <v>9339.7999999999993</v>
      </c>
      <c r="K75" s="27">
        <f t="shared" ref="K75" si="9">SUM(E75:J75)</f>
        <v>713573.81</v>
      </c>
      <c r="L75" s="27">
        <f>$D$5-SUM(K$9:K75)</f>
        <v>4241536.4299999923</v>
      </c>
      <c r="M75" s="13"/>
      <c r="N75" s="12"/>
    </row>
    <row r="76" spans="1:14" ht="15" x14ac:dyDescent="0.2">
      <c r="A76" s="3"/>
      <c r="B76" s="24">
        <v>1639</v>
      </c>
      <c r="C76" s="26">
        <v>44733</v>
      </c>
      <c r="D76" s="26">
        <v>44742</v>
      </c>
      <c r="E76" s="27">
        <v>974930.39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f t="shared" ref="K76" si="10">SUM(E76:J76)</f>
        <v>974930.39</v>
      </c>
      <c r="L76" s="27">
        <f>$D$5-SUM(K$9:K76)</f>
        <v>3266606.0399999917</v>
      </c>
      <c r="M76" s="13"/>
      <c r="N76" s="12"/>
    </row>
    <row r="77" spans="1:14" ht="15" x14ac:dyDescent="0.2">
      <c r="A77" s="3"/>
      <c r="B77" s="24">
        <v>1639</v>
      </c>
      <c r="C77" s="26">
        <v>44733</v>
      </c>
      <c r="D77" s="26">
        <v>44757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134210.51999999999</v>
      </c>
      <c r="K77" s="27">
        <f t="shared" ref="K77:K79" si="11">SUM(E77:J77)</f>
        <v>134210.51999999999</v>
      </c>
      <c r="L77" s="27">
        <f>$D$5-SUM(K$9:K77)</f>
        <v>3132395.5199999958</v>
      </c>
      <c r="M77" s="13"/>
      <c r="N77" s="12"/>
    </row>
    <row r="78" spans="1:14" ht="15" x14ac:dyDescent="0.2">
      <c r="A78" s="3"/>
      <c r="B78" s="24">
        <v>1864</v>
      </c>
      <c r="C78" s="26">
        <v>44755</v>
      </c>
      <c r="D78" s="26">
        <v>44771</v>
      </c>
      <c r="E78" s="27">
        <v>849858.92</v>
      </c>
      <c r="F78" s="27">
        <v>0</v>
      </c>
      <c r="G78" s="27">
        <v>0</v>
      </c>
      <c r="H78" s="27">
        <v>0</v>
      </c>
      <c r="I78" s="27">
        <v>0</v>
      </c>
      <c r="J78" s="27">
        <v>121596.92</v>
      </c>
      <c r="K78" s="27">
        <f t="shared" si="11"/>
        <v>971455.84000000008</v>
      </c>
      <c r="L78" s="27">
        <f>$D$5-SUM(K$9:K78)</f>
        <v>2160939.6799999923</v>
      </c>
      <c r="M78" s="13"/>
      <c r="N78" s="12"/>
    </row>
    <row r="79" spans="1:14" ht="15" x14ac:dyDescent="0.2">
      <c r="A79" s="3"/>
      <c r="B79" s="24">
        <v>2131</v>
      </c>
      <c r="C79" s="26">
        <v>44781</v>
      </c>
      <c r="D79" s="26">
        <v>44785</v>
      </c>
      <c r="E79" s="27">
        <v>369950.2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f t="shared" si="11"/>
        <v>369950.2</v>
      </c>
      <c r="L79" s="27">
        <f>$D$5-SUM(K$9:K79)</f>
        <v>1790989.4799999893</v>
      </c>
      <c r="M79" s="13"/>
      <c r="N79" s="12"/>
    </row>
    <row r="80" spans="1:14" ht="15" x14ac:dyDescent="0.2">
      <c r="A80" s="3"/>
      <c r="B80" s="24">
        <v>2512</v>
      </c>
      <c r="C80" s="26">
        <v>44813</v>
      </c>
      <c r="D80" s="26">
        <v>44819</v>
      </c>
      <c r="E80" s="27">
        <v>484351.88</v>
      </c>
      <c r="F80" s="27">
        <v>0</v>
      </c>
      <c r="G80" s="27">
        <v>0</v>
      </c>
      <c r="H80" s="27">
        <v>0</v>
      </c>
      <c r="I80" s="27">
        <v>0</v>
      </c>
      <c r="J80" s="27">
        <v>66612.92</v>
      </c>
      <c r="K80" s="27">
        <f t="shared" ref="K80:K82" si="12">SUM(E80:J80)</f>
        <v>550964.80000000005</v>
      </c>
      <c r="L80" s="27">
        <f>$D$5-SUM(K$9:K80)</f>
        <v>1240024.6799999923</v>
      </c>
      <c r="M80" s="13"/>
      <c r="N80" s="12"/>
    </row>
    <row r="81" spans="1:14" ht="15" x14ac:dyDescent="0.2">
      <c r="A81" s="3"/>
      <c r="B81" s="24">
        <v>2908</v>
      </c>
      <c r="C81" s="26">
        <v>44844</v>
      </c>
      <c r="D81" s="26">
        <v>44851</v>
      </c>
      <c r="E81" s="27">
        <v>452356.65</v>
      </c>
      <c r="F81" s="27">
        <v>0</v>
      </c>
      <c r="G81" s="27">
        <v>0</v>
      </c>
      <c r="H81" s="27">
        <v>0</v>
      </c>
      <c r="I81" s="27">
        <v>0</v>
      </c>
      <c r="J81" s="27">
        <v>64341.77</v>
      </c>
      <c r="K81" s="27">
        <f t="shared" si="12"/>
        <v>516698.42000000004</v>
      </c>
      <c r="L81" s="27">
        <f>$D$5-SUM(K$9:K81)</f>
        <v>723326.25999999046</v>
      </c>
      <c r="M81" s="13"/>
      <c r="N81" s="12"/>
    </row>
    <row r="82" spans="1:14" ht="15" x14ac:dyDescent="0.2">
      <c r="A82" s="3"/>
      <c r="B82" s="24">
        <v>3126</v>
      </c>
      <c r="C82" s="26">
        <v>44865</v>
      </c>
      <c r="D82" s="26">
        <v>44881</v>
      </c>
      <c r="E82" s="27">
        <v>323016.8</v>
      </c>
      <c r="F82" s="27">
        <v>0</v>
      </c>
      <c r="G82" s="27">
        <v>0</v>
      </c>
      <c r="H82" s="27">
        <v>0</v>
      </c>
      <c r="I82" s="27">
        <v>0</v>
      </c>
      <c r="J82" s="27">
        <v>45042.29</v>
      </c>
      <c r="K82" s="27">
        <f t="shared" si="12"/>
        <v>368059.08999999997</v>
      </c>
      <c r="L82" s="27">
        <f>$D$5-SUM(K$9:K82)</f>
        <v>355267.16999998689</v>
      </c>
      <c r="M82" s="13"/>
      <c r="N82" s="12"/>
    </row>
    <row r="83" spans="1:14" ht="15" x14ac:dyDescent="0.2">
      <c r="A83" s="3"/>
      <c r="B83" s="24"/>
      <c r="C83" s="26"/>
      <c r="D83" s="26"/>
      <c r="E83" s="27"/>
      <c r="F83" s="27"/>
      <c r="G83" s="27"/>
      <c r="H83" s="27"/>
      <c r="I83" s="27"/>
      <c r="J83" s="27"/>
      <c r="K83" s="27"/>
      <c r="L83" s="27"/>
      <c r="M83" s="13"/>
      <c r="N83" s="12"/>
    </row>
    <row r="84" spans="1:14" ht="15" x14ac:dyDescent="0.2">
      <c r="A84" s="3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12"/>
      <c r="N84" s="12"/>
    </row>
    <row r="85" spans="1:14" x14ac:dyDescent="0.2">
      <c r="A85" s="3"/>
      <c r="B85" s="3"/>
      <c r="C85" s="3"/>
      <c r="D85" s="3"/>
      <c r="E85" s="15"/>
      <c r="F85" s="15"/>
      <c r="G85" s="15"/>
      <c r="H85" s="15"/>
      <c r="I85" s="15"/>
      <c r="J85" s="15"/>
      <c r="K85" s="15"/>
      <c r="L85" s="15"/>
      <c r="M85" s="3"/>
    </row>
    <row r="86" spans="1:14" ht="15" x14ac:dyDescent="0.2">
      <c r="A86" s="3"/>
      <c r="B86" s="3"/>
      <c r="C86" s="3"/>
      <c r="D86" s="3"/>
      <c r="E86" s="16"/>
      <c r="F86" s="3"/>
      <c r="G86" s="3"/>
      <c r="H86" s="3"/>
      <c r="I86" s="3"/>
      <c r="J86" s="3"/>
      <c r="K86" s="3"/>
      <c r="L86" s="3"/>
      <c r="M86" s="3"/>
    </row>
    <row r="87" spans="1:14" ht="15" x14ac:dyDescent="0.2">
      <c r="A87" s="3"/>
      <c r="E87" s="16"/>
      <c r="F87" s="3"/>
      <c r="G87" s="3"/>
      <c r="H87" s="3"/>
      <c r="I87" s="3"/>
      <c r="J87" s="3"/>
      <c r="K87" s="3"/>
      <c r="L87" s="3"/>
      <c r="M87" s="3"/>
    </row>
    <row r="88" spans="1:14" ht="15" x14ac:dyDescent="0.2">
      <c r="E88" s="16"/>
      <c r="F88" s="3"/>
      <c r="G88" s="3"/>
      <c r="H88" s="3"/>
      <c r="I88" s="3"/>
    </row>
    <row r="89" spans="1:14" ht="15" x14ac:dyDescent="0.2">
      <c r="E89" s="16"/>
      <c r="F89" s="3"/>
      <c r="G89" s="3"/>
      <c r="H89" s="3"/>
      <c r="I89" s="3"/>
    </row>
  </sheetData>
  <autoFilter ref="B7:L64" xr:uid="{04F8475C-F52E-472F-AC6C-BF0D9FE415BC}"/>
  <sortState xmlns:xlrd2="http://schemas.microsoft.com/office/spreadsheetml/2017/richdata2" ref="B9:K64">
    <sortCondition ref="C9:C64"/>
    <sortCondition ref="B9:B64"/>
    <sortCondition ref="D9:D64"/>
  </sortState>
  <mergeCells count="5">
    <mergeCell ref="D7:D8"/>
    <mergeCell ref="C7:C8"/>
    <mergeCell ref="B7:B8"/>
    <mergeCell ref="K7:K8"/>
    <mergeCell ref="L7:L8"/>
  </mergeCells>
  <hyperlinks>
    <hyperlink ref="G4" r:id="rId1" xr:uid="{F5929304-9E28-42B3-8DEA-77F382852964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930C-3DED-49CD-8D5A-92DC00412319}">
  <dimension ref="A1:U31"/>
  <sheetViews>
    <sheetView showGridLines="0" zoomScale="85" zoomScaleNormal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ColWidth="8.85546875" defaultRowHeight="12.75" x14ac:dyDescent="0.2"/>
  <cols>
    <col min="1" max="1" width="3.85546875" style="1" customWidth="1"/>
    <col min="2" max="2" width="12.85546875" style="1" customWidth="1"/>
    <col min="3" max="3" width="18.42578125" style="1" customWidth="1"/>
    <col min="4" max="4" width="20" style="1" customWidth="1"/>
    <col min="5" max="19" width="18.42578125" style="1" customWidth="1"/>
    <col min="20" max="20" width="14" style="1" bestFit="1" customWidth="1"/>
    <col min="21" max="21" width="11.140625" style="1" bestFit="1" customWidth="1"/>
    <col min="22" max="16384" width="8.85546875" style="1"/>
  </cols>
  <sheetData>
    <row r="1" spans="1:21" ht="23.25" x14ac:dyDescent="0.35">
      <c r="B1" s="2" t="s">
        <v>14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1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</row>
    <row r="3" spans="1:21" ht="15.75" x14ac:dyDescent="0.2">
      <c r="A3" s="3"/>
      <c r="B3" s="5" t="s">
        <v>6</v>
      </c>
      <c r="D3" s="5" t="s">
        <v>18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5.75" x14ac:dyDescent="0.2">
      <c r="A4" s="3"/>
      <c r="B4" s="5" t="s">
        <v>0</v>
      </c>
      <c r="D4" s="5" t="s">
        <v>19</v>
      </c>
      <c r="F4" s="5"/>
      <c r="G4" s="6" t="s">
        <v>20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ht="15.75" x14ac:dyDescent="0.2">
      <c r="A5" s="3"/>
      <c r="B5" s="5"/>
      <c r="D5" s="5" t="s">
        <v>81</v>
      </c>
      <c r="F5" s="5"/>
      <c r="G5" s="6" t="s">
        <v>82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1" ht="15.75" x14ac:dyDescent="0.2">
      <c r="A6" s="3"/>
      <c r="B6" s="5" t="s">
        <v>1</v>
      </c>
      <c r="C6" s="5"/>
      <c r="D6" s="25">
        <v>51560887.630000003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1" ht="15.75" x14ac:dyDescent="0.2">
      <c r="A7" s="3"/>
      <c r="B7" s="5"/>
      <c r="C7" s="5"/>
      <c r="D7" s="2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1" ht="30" customHeight="1" x14ac:dyDescent="0.2">
      <c r="A8" s="7"/>
      <c r="B8" s="56" t="s">
        <v>8</v>
      </c>
      <c r="C8" s="56" t="s">
        <v>15</v>
      </c>
      <c r="D8" s="56" t="s">
        <v>16</v>
      </c>
      <c r="E8" s="8" t="s">
        <v>51</v>
      </c>
      <c r="F8" s="8" t="s">
        <v>80</v>
      </c>
      <c r="G8" s="8" t="s">
        <v>85</v>
      </c>
      <c r="H8" s="8" t="s">
        <v>86</v>
      </c>
      <c r="I8" s="8" t="s">
        <v>87</v>
      </c>
      <c r="J8" s="8" t="s">
        <v>88</v>
      </c>
      <c r="K8" s="8" t="s">
        <v>124</v>
      </c>
      <c r="L8" s="8" t="s">
        <v>139</v>
      </c>
      <c r="M8" s="8" t="s">
        <v>141</v>
      </c>
      <c r="N8" s="8" t="s">
        <v>142</v>
      </c>
      <c r="O8" s="8" t="s">
        <v>90</v>
      </c>
      <c r="P8" s="8" t="s">
        <v>62</v>
      </c>
      <c r="Q8" s="8" t="s">
        <v>3</v>
      </c>
      <c r="R8" s="58" t="s">
        <v>2</v>
      </c>
      <c r="S8" s="58" t="s">
        <v>17</v>
      </c>
      <c r="T8" s="9"/>
      <c r="U8" s="9"/>
    </row>
    <row r="9" spans="1:21" ht="15" x14ac:dyDescent="0.2">
      <c r="A9" s="7"/>
      <c r="B9" s="57"/>
      <c r="C9" s="57"/>
      <c r="D9" s="57"/>
      <c r="E9" s="8" t="s">
        <v>93</v>
      </c>
      <c r="F9" s="8" t="s">
        <v>99</v>
      </c>
      <c r="G9" s="8" t="s">
        <v>94</v>
      </c>
      <c r="H9" s="8" t="s">
        <v>95</v>
      </c>
      <c r="I9" s="8" t="s">
        <v>96</v>
      </c>
      <c r="J9" s="8" t="s">
        <v>97</v>
      </c>
      <c r="K9" s="8" t="s">
        <v>125</v>
      </c>
      <c r="L9" s="8" t="s">
        <v>104</v>
      </c>
      <c r="M9" s="8" t="s">
        <v>140</v>
      </c>
      <c r="N9" s="8" t="s">
        <v>143</v>
      </c>
      <c r="O9" s="8" t="s">
        <v>121</v>
      </c>
      <c r="P9" s="8" t="s">
        <v>116</v>
      </c>
      <c r="Q9" s="8" t="s">
        <v>92</v>
      </c>
      <c r="R9" s="59"/>
      <c r="S9" s="59"/>
      <c r="T9" s="45"/>
      <c r="U9" s="45"/>
    </row>
    <row r="10" spans="1:21" ht="15" x14ac:dyDescent="0.2">
      <c r="A10" s="3"/>
      <c r="B10" s="24">
        <v>167</v>
      </c>
      <c r="C10" s="26">
        <v>44586</v>
      </c>
      <c r="D10" s="26">
        <v>44592</v>
      </c>
      <c r="E10" s="27">
        <v>1315945.06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41832.49</v>
      </c>
      <c r="R10" s="27">
        <f t="shared" ref="R10:R11" si="0">SUM(E10:Q10)</f>
        <v>1357777.55</v>
      </c>
      <c r="S10" s="27">
        <f>$D$6-SUM(R$10:R10)</f>
        <v>50203110.080000006</v>
      </c>
      <c r="T10" s="12"/>
      <c r="U10" s="12"/>
    </row>
    <row r="11" spans="1:21" ht="15" x14ac:dyDescent="0.2">
      <c r="A11" s="3"/>
      <c r="B11" s="24">
        <v>1065</v>
      </c>
      <c r="C11" s="26">
        <v>44676</v>
      </c>
      <c r="D11" s="26">
        <v>44680</v>
      </c>
      <c r="E11" s="27">
        <v>342376.72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40167.1</v>
      </c>
      <c r="R11" s="27">
        <f t="shared" si="0"/>
        <v>382543.81999999995</v>
      </c>
      <c r="S11" s="27">
        <f>$D$6-SUM(R$10:R11)</f>
        <v>49820566.260000005</v>
      </c>
      <c r="T11" s="12"/>
      <c r="U11" s="12"/>
    </row>
    <row r="12" spans="1:21" ht="15" x14ac:dyDescent="0.2">
      <c r="A12" s="3"/>
      <c r="B12" s="24">
        <v>1590</v>
      </c>
      <c r="C12" s="26">
        <v>44727</v>
      </c>
      <c r="D12" s="26">
        <v>44742</v>
      </c>
      <c r="E12" s="27">
        <v>97886.73</v>
      </c>
      <c r="F12" s="27">
        <v>749850.75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f t="shared" ref="R12" si="1">SUM(E12:Q12)</f>
        <v>847737.48</v>
      </c>
      <c r="S12" s="27">
        <f>$D$6-SUM(R$10:R12)</f>
        <v>48972828.780000001</v>
      </c>
      <c r="T12" s="13"/>
      <c r="U12" s="12"/>
    </row>
    <row r="13" spans="1:21" ht="15" x14ac:dyDescent="0.2">
      <c r="A13" s="3"/>
      <c r="B13" s="24">
        <v>1590</v>
      </c>
      <c r="C13" s="26">
        <v>44727</v>
      </c>
      <c r="D13" s="26">
        <v>44757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11483.92</v>
      </c>
      <c r="R13" s="27">
        <f t="shared" ref="R13" si="2">SUM(E13:Q13)</f>
        <v>11483.92</v>
      </c>
      <c r="S13" s="27">
        <f>$D$6-SUM(R$10:R13)</f>
        <v>48961344.859999999</v>
      </c>
      <c r="T13" s="13"/>
      <c r="U13" s="12"/>
    </row>
    <row r="14" spans="1:21" ht="15" x14ac:dyDescent="0.2">
      <c r="A14" s="3"/>
      <c r="B14" s="24">
        <v>2267</v>
      </c>
      <c r="C14" s="26">
        <v>44792</v>
      </c>
      <c r="D14" s="26">
        <v>44804</v>
      </c>
      <c r="E14" s="27">
        <v>567582.42000000004</v>
      </c>
      <c r="F14" s="27">
        <v>0</v>
      </c>
      <c r="G14" s="27">
        <v>102729.93</v>
      </c>
      <c r="H14" s="27">
        <v>140473.56</v>
      </c>
      <c r="I14" s="27">
        <v>19182.939999999999</v>
      </c>
      <c r="J14" s="27">
        <v>53168.5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80534.320000000007</v>
      </c>
      <c r="R14" s="27">
        <f t="shared" ref="R14" si="3">SUM(E14:Q14)</f>
        <v>963671.67000000016</v>
      </c>
      <c r="S14" s="27">
        <f>$D$6-SUM(R$10:R14)</f>
        <v>47997673.190000005</v>
      </c>
      <c r="T14" s="13"/>
      <c r="U14" s="12"/>
    </row>
    <row r="15" spans="1:21" ht="15" x14ac:dyDescent="0.2">
      <c r="A15" s="3"/>
      <c r="B15" s="24">
        <v>2596</v>
      </c>
      <c r="C15" s="26">
        <v>44819</v>
      </c>
      <c r="D15" s="26">
        <v>44834</v>
      </c>
      <c r="E15" s="27">
        <v>450247.52</v>
      </c>
      <c r="F15" s="27">
        <v>1124776.1200000001</v>
      </c>
      <c r="G15" s="27">
        <v>0</v>
      </c>
      <c r="H15" s="27">
        <v>0</v>
      </c>
      <c r="I15" s="27">
        <v>0</v>
      </c>
      <c r="J15" s="27">
        <v>0</v>
      </c>
      <c r="K15" s="27">
        <v>194974.48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9270.1</v>
      </c>
      <c r="R15" s="27">
        <f>SUM(E15:Q15)</f>
        <v>1779268.2200000002</v>
      </c>
      <c r="S15" s="27">
        <f>$D$6-SUM(R$10:R15)</f>
        <v>46218404.969999999</v>
      </c>
      <c r="T15" s="13"/>
      <c r="U15" s="12"/>
    </row>
    <row r="16" spans="1:21" ht="15" x14ac:dyDescent="0.2">
      <c r="A16" s="3"/>
      <c r="B16" s="24">
        <v>3261</v>
      </c>
      <c r="C16" s="26">
        <v>44876</v>
      </c>
      <c r="D16" s="26">
        <v>44895</v>
      </c>
      <c r="E16" s="27">
        <v>290006.93</v>
      </c>
      <c r="F16" s="27">
        <v>0</v>
      </c>
      <c r="G16" s="27">
        <v>0</v>
      </c>
      <c r="H16" s="27">
        <v>71683.75</v>
      </c>
      <c r="I16" s="27">
        <v>0</v>
      </c>
      <c r="J16" s="27">
        <v>0</v>
      </c>
      <c r="K16" s="27">
        <v>0</v>
      </c>
      <c r="L16" s="27">
        <v>1062139.54</v>
      </c>
      <c r="M16" s="27">
        <v>56797.55</v>
      </c>
      <c r="N16" s="27">
        <v>0</v>
      </c>
      <c r="O16" s="27">
        <v>0</v>
      </c>
      <c r="P16" s="27">
        <v>0</v>
      </c>
      <c r="Q16" s="27">
        <v>25618.52</v>
      </c>
      <c r="R16" s="27">
        <f t="shared" ref="R16" si="4">SUM(E16:Q16)</f>
        <v>1506246.29</v>
      </c>
      <c r="S16" s="27">
        <f>$D$6-SUM(R$10:R16)</f>
        <v>44712158.68</v>
      </c>
      <c r="T16" s="13"/>
      <c r="U16" s="12"/>
    </row>
    <row r="17" spans="1:21" ht="15" x14ac:dyDescent="0.2">
      <c r="A17" s="3"/>
      <c r="B17" s="24">
        <v>3262</v>
      </c>
      <c r="C17" s="26">
        <v>44876</v>
      </c>
      <c r="D17" s="26">
        <v>44895</v>
      </c>
      <c r="E17" s="27">
        <v>1763057.11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59400</v>
      </c>
      <c r="O17" s="27">
        <v>240508.2</v>
      </c>
      <c r="P17" s="27">
        <v>0</v>
      </c>
      <c r="Q17" s="27">
        <v>77039.83</v>
      </c>
      <c r="R17" s="27">
        <f t="shared" ref="R17" si="5">SUM(E17:Q17)</f>
        <v>2140005.14</v>
      </c>
      <c r="S17" s="27">
        <f>$D$6-SUM(R$10:R17)</f>
        <v>42572153.540000007</v>
      </c>
      <c r="T17" s="13"/>
      <c r="U17" s="12"/>
    </row>
    <row r="18" spans="1:21" ht="15" x14ac:dyDescent="0.2">
      <c r="A18" s="3"/>
      <c r="B18" s="24" t="s">
        <v>162</v>
      </c>
      <c r="C18" s="26">
        <v>44908</v>
      </c>
      <c r="D18" s="26">
        <v>44925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61747.19</v>
      </c>
      <c r="Q18" s="27">
        <v>0</v>
      </c>
      <c r="R18" s="27">
        <f t="shared" ref="R18" si="6">SUM(E18:Q18)</f>
        <v>61747.19</v>
      </c>
      <c r="S18" s="27">
        <f>$D$6-SUM(R$10:R18)</f>
        <v>42510406.350000001</v>
      </c>
      <c r="T18" s="13"/>
      <c r="U18" s="12"/>
    </row>
    <row r="19" spans="1:21" ht="15" x14ac:dyDescent="0.2">
      <c r="A19" s="3"/>
      <c r="B19" s="24"/>
      <c r="C19" s="2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13"/>
      <c r="U19" s="12"/>
    </row>
    <row r="20" spans="1:21" ht="15" x14ac:dyDescent="0.2">
      <c r="A20" s="3"/>
      <c r="B20" s="24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13"/>
      <c r="U20" s="12"/>
    </row>
    <row r="21" spans="1:21" ht="15" x14ac:dyDescent="0.2">
      <c r="A21" s="3"/>
      <c r="B21" s="24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13"/>
      <c r="U21" s="12"/>
    </row>
    <row r="22" spans="1:21" ht="15" x14ac:dyDescent="0.2">
      <c r="A22" s="3"/>
      <c r="B22" s="24"/>
      <c r="C22" s="26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13"/>
      <c r="U22" s="12"/>
    </row>
    <row r="23" spans="1:21" ht="15" x14ac:dyDescent="0.2">
      <c r="A23" s="3"/>
      <c r="B23" s="24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13"/>
      <c r="U23" s="12"/>
    </row>
    <row r="24" spans="1:21" ht="15" x14ac:dyDescent="0.2">
      <c r="A24" s="3"/>
      <c r="B24" s="24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13"/>
      <c r="U24" s="12"/>
    </row>
    <row r="25" spans="1:21" ht="15" x14ac:dyDescent="0.2">
      <c r="A25" s="3"/>
      <c r="B25" s="24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13"/>
      <c r="U25" s="12"/>
    </row>
    <row r="26" spans="1:21" ht="15" x14ac:dyDescent="0.2">
      <c r="A26" s="3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2"/>
      <c r="U26" s="12"/>
    </row>
    <row r="27" spans="1:21" x14ac:dyDescent="0.2">
      <c r="A27" s="3"/>
      <c r="B27" s="3"/>
      <c r="C27" s="3"/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3"/>
    </row>
    <row r="28" spans="1:21" ht="15" x14ac:dyDescent="0.2">
      <c r="A28" s="3"/>
      <c r="B28" s="3"/>
      <c r="C28" s="3"/>
      <c r="D28" s="3"/>
      <c r="E28" s="1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1" ht="15" x14ac:dyDescent="0.2">
      <c r="A29" s="3"/>
      <c r="E29" s="1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1" ht="15" x14ac:dyDescent="0.2">
      <c r="E30" s="1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21" ht="15" x14ac:dyDescent="0.2">
      <c r="E31" s="1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</sheetData>
  <autoFilter ref="B8:S12" xr:uid="{04F8475C-F52E-472F-AC6C-BF0D9FE415BC}"/>
  <mergeCells count="5">
    <mergeCell ref="B8:B9"/>
    <mergeCell ref="C8:C9"/>
    <mergeCell ref="D8:D9"/>
    <mergeCell ref="S8:S9"/>
    <mergeCell ref="R8:R9"/>
  </mergeCells>
  <phoneticPr fontId="25" type="noConversion"/>
  <hyperlinks>
    <hyperlink ref="G4" r:id="rId1" xr:uid="{D0B53155-151E-4C0E-9D84-DD16FD336C37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A4DD-47AF-4276-8AAC-2D69A4ADBF08}">
  <dimension ref="A1:Y32"/>
  <sheetViews>
    <sheetView showGridLines="0" zoomScale="85" zoomScaleNormal="85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defaultColWidth="8.85546875" defaultRowHeight="12.75" x14ac:dyDescent="0.2"/>
  <cols>
    <col min="1" max="1" width="3.85546875" style="1" customWidth="1"/>
    <col min="2" max="2" width="11.42578125" style="1" customWidth="1"/>
    <col min="3" max="3" width="18.42578125" style="1" customWidth="1"/>
    <col min="4" max="4" width="20" style="1" customWidth="1"/>
    <col min="5" max="5" width="10.85546875" style="1" customWidth="1"/>
    <col min="6" max="21" width="18.140625" style="1" customWidth="1"/>
    <col min="22" max="22" width="17.5703125" style="1" bestFit="1" customWidth="1"/>
    <col min="23" max="23" width="18.42578125" style="1" customWidth="1"/>
    <col min="24" max="24" width="14" style="1" bestFit="1" customWidth="1"/>
    <col min="25" max="25" width="11.140625" style="1" bestFit="1" customWidth="1"/>
    <col min="26" max="16384" width="8.85546875" style="1"/>
  </cols>
  <sheetData>
    <row r="1" spans="1:25" ht="23.25" x14ac:dyDescent="0.35">
      <c r="B1" s="2" t="s">
        <v>14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42"/>
      <c r="L2" s="4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</row>
    <row r="3" spans="1:25" ht="15.75" x14ac:dyDescent="0.2">
      <c r="A3" s="3"/>
      <c r="B3" s="5" t="s">
        <v>6</v>
      </c>
      <c r="D3" s="5" t="s">
        <v>24</v>
      </c>
      <c r="E3" s="5"/>
      <c r="G3" s="5"/>
      <c r="H3" s="5"/>
      <c r="I3" s="5"/>
      <c r="J3" s="5"/>
      <c r="K3" s="43"/>
      <c r="L3" s="4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5" ht="15.75" x14ac:dyDescent="0.2">
      <c r="A4" s="3"/>
      <c r="B4" s="5" t="s">
        <v>0</v>
      </c>
      <c r="D4" s="5" t="s">
        <v>22</v>
      </c>
      <c r="E4" s="5"/>
      <c r="G4" s="5"/>
      <c r="H4" s="6" t="s">
        <v>23</v>
      </c>
      <c r="I4" s="5"/>
      <c r="J4" s="5"/>
      <c r="K4" s="43"/>
      <c r="L4" s="43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5" ht="15.75" x14ac:dyDescent="0.2">
      <c r="A5" s="3"/>
      <c r="B5" s="5"/>
      <c r="D5" s="5" t="s">
        <v>73</v>
      </c>
      <c r="E5" s="5"/>
      <c r="G5" s="5"/>
      <c r="H5" s="6" t="s">
        <v>72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5" ht="15.75" x14ac:dyDescent="0.2">
      <c r="A6" s="3"/>
      <c r="B6" s="5" t="s">
        <v>1</v>
      </c>
      <c r="C6" s="5"/>
      <c r="D6" s="25">
        <v>210931072.41</v>
      </c>
      <c r="E6" s="25"/>
      <c r="F6" s="5"/>
      <c r="G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5" ht="15.75" x14ac:dyDescent="0.2">
      <c r="A7" s="3"/>
      <c r="B7" s="5"/>
      <c r="C7" s="5"/>
      <c r="D7" s="23"/>
      <c r="E7" s="23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5" ht="30" customHeight="1" x14ac:dyDescent="0.2">
      <c r="A8" s="7"/>
      <c r="B8" s="56" t="s">
        <v>8</v>
      </c>
      <c r="C8" s="56" t="s">
        <v>15</v>
      </c>
      <c r="D8" s="56" t="s">
        <v>16</v>
      </c>
      <c r="E8" s="56" t="s">
        <v>69</v>
      </c>
      <c r="F8" s="8" t="s">
        <v>55</v>
      </c>
      <c r="G8" s="8" t="s">
        <v>56</v>
      </c>
      <c r="H8" s="8" t="s">
        <v>57</v>
      </c>
      <c r="I8" s="8" t="s">
        <v>58</v>
      </c>
      <c r="J8" s="8" t="s">
        <v>59</v>
      </c>
      <c r="K8" s="8" t="s">
        <v>60</v>
      </c>
      <c r="L8" s="8" t="s">
        <v>61</v>
      </c>
      <c r="M8" s="8" t="s">
        <v>62</v>
      </c>
      <c r="N8" s="8" t="s">
        <v>63</v>
      </c>
      <c r="O8" s="8" t="s">
        <v>64</v>
      </c>
      <c r="P8" s="8" t="s">
        <v>65</v>
      </c>
      <c r="Q8" s="8" t="s">
        <v>66</v>
      </c>
      <c r="R8" s="8" t="s">
        <v>67</v>
      </c>
      <c r="S8" s="8" t="s">
        <v>68</v>
      </c>
      <c r="T8" s="8" t="s">
        <v>78</v>
      </c>
      <c r="U8" s="8" t="s">
        <v>3</v>
      </c>
      <c r="V8" s="58" t="s">
        <v>2</v>
      </c>
      <c r="W8" s="58" t="s">
        <v>17</v>
      </c>
      <c r="X8" s="9"/>
      <c r="Y8" s="9"/>
    </row>
    <row r="9" spans="1:25" ht="15" x14ac:dyDescent="0.2">
      <c r="A9" s="7"/>
      <c r="B9" s="57"/>
      <c r="C9" s="57"/>
      <c r="D9" s="57"/>
      <c r="E9" s="57"/>
      <c r="F9" s="8" t="s">
        <v>98</v>
      </c>
      <c r="G9" s="8" t="s">
        <v>112</v>
      </c>
      <c r="H9" s="8" t="s">
        <v>111</v>
      </c>
      <c r="I9" s="8" t="s">
        <v>109</v>
      </c>
      <c r="J9" s="8" t="s">
        <v>113</v>
      </c>
      <c r="K9" s="8" t="s">
        <v>114</v>
      </c>
      <c r="L9" s="8" t="s">
        <v>115</v>
      </c>
      <c r="M9" s="8" t="s">
        <v>116</v>
      </c>
      <c r="N9" s="8" t="s">
        <v>117</v>
      </c>
      <c r="O9" s="8" t="s">
        <v>118</v>
      </c>
      <c r="P9" s="8" t="s">
        <v>103</v>
      </c>
      <c r="Q9" s="8" t="s">
        <v>105</v>
      </c>
      <c r="R9" s="8" t="s">
        <v>100</v>
      </c>
      <c r="S9" s="8" t="s">
        <v>104</v>
      </c>
      <c r="T9" s="8" t="s">
        <v>110</v>
      </c>
      <c r="U9" s="8" t="s">
        <v>92</v>
      </c>
      <c r="V9" s="59"/>
      <c r="W9" s="59"/>
      <c r="X9" s="45"/>
      <c r="Y9" s="45"/>
    </row>
    <row r="10" spans="1:25" ht="15" x14ac:dyDescent="0.2">
      <c r="A10" s="3"/>
      <c r="B10" s="24">
        <v>894</v>
      </c>
      <c r="C10" s="26">
        <v>44657</v>
      </c>
      <c r="D10" s="26">
        <v>44665</v>
      </c>
      <c r="E10" s="26" t="s">
        <v>70</v>
      </c>
      <c r="F10" s="27">
        <v>10425697</v>
      </c>
      <c r="G10" s="27">
        <v>235226</v>
      </c>
      <c r="H10" s="27">
        <v>5170041.3600000003</v>
      </c>
      <c r="I10" s="27">
        <v>0</v>
      </c>
      <c r="J10" s="27">
        <v>5978194.5300000003</v>
      </c>
      <c r="K10" s="27">
        <v>489383.27</v>
      </c>
      <c r="L10" s="27">
        <v>254705</v>
      </c>
      <c r="M10" s="27">
        <v>1040528.27</v>
      </c>
      <c r="N10" s="27">
        <v>1465241.28</v>
      </c>
      <c r="O10" s="27">
        <v>616708.99</v>
      </c>
      <c r="P10" s="27">
        <v>86000</v>
      </c>
      <c r="Q10" s="27">
        <v>427412.57</v>
      </c>
      <c r="R10" s="27">
        <v>420541.36</v>
      </c>
      <c r="S10" s="27">
        <v>0</v>
      </c>
      <c r="T10" s="27">
        <v>0</v>
      </c>
      <c r="U10" s="27">
        <v>738975.47</v>
      </c>
      <c r="V10" s="27">
        <f>SUM(F10:U10)</f>
        <v>27348655.099999998</v>
      </c>
      <c r="W10" s="27">
        <f>$D$6-SUM(V$10:V10)</f>
        <v>183582417.31</v>
      </c>
      <c r="X10" s="12"/>
      <c r="Y10" s="12"/>
    </row>
    <row r="11" spans="1:25" ht="15" x14ac:dyDescent="0.2">
      <c r="A11" s="3"/>
      <c r="B11" s="24">
        <v>894</v>
      </c>
      <c r="C11" s="26">
        <v>44657</v>
      </c>
      <c r="D11" s="26">
        <v>44680</v>
      </c>
      <c r="E11" s="26" t="s">
        <v>70</v>
      </c>
      <c r="F11" s="27">
        <v>0</v>
      </c>
      <c r="G11" s="27">
        <v>0</v>
      </c>
      <c r="H11" s="27">
        <v>0</v>
      </c>
      <c r="I11" s="27">
        <v>707426.84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f>SUM(F11:U11)</f>
        <v>707426.84</v>
      </c>
      <c r="W11" s="27">
        <f>$D$6-SUM(V$10:V11)</f>
        <v>182874990.47</v>
      </c>
      <c r="X11" s="12"/>
      <c r="Y11" s="12"/>
    </row>
    <row r="12" spans="1:25" ht="15" x14ac:dyDescent="0.2">
      <c r="A12" s="3"/>
      <c r="B12" s="24">
        <v>1025</v>
      </c>
      <c r="C12" s="26">
        <v>44670</v>
      </c>
      <c r="D12" s="26">
        <v>44680</v>
      </c>
      <c r="E12" s="26" t="s">
        <v>71</v>
      </c>
      <c r="F12" s="27">
        <v>502435.75</v>
      </c>
      <c r="G12" s="27">
        <v>0</v>
      </c>
      <c r="H12" s="27">
        <v>0</v>
      </c>
      <c r="I12" s="27">
        <v>115175.5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213706.28</v>
      </c>
      <c r="R12" s="27">
        <v>420541.36</v>
      </c>
      <c r="S12" s="27">
        <v>243585.85</v>
      </c>
      <c r="T12" s="27">
        <v>0</v>
      </c>
      <c r="U12" s="27">
        <v>40472.129999999997</v>
      </c>
      <c r="V12" s="27">
        <f>SUM(F12:U12)</f>
        <v>1535916.87</v>
      </c>
      <c r="W12" s="27">
        <f>$D$6-SUM(V$10:V12)</f>
        <v>181339073.59999999</v>
      </c>
      <c r="X12" s="12"/>
      <c r="Y12" s="12"/>
    </row>
    <row r="13" spans="1:25" ht="15" x14ac:dyDescent="0.2">
      <c r="A13" s="3"/>
      <c r="B13" s="24">
        <v>1381</v>
      </c>
      <c r="C13" s="26">
        <v>44701</v>
      </c>
      <c r="D13" s="26">
        <v>44712</v>
      </c>
      <c r="E13" s="26" t="s">
        <v>79</v>
      </c>
      <c r="F13" s="27">
        <v>513974.19</v>
      </c>
      <c r="G13" s="27">
        <v>0</v>
      </c>
      <c r="H13" s="27">
        <v>11136236.91</v>
      </c>
      <c r="I13" s="27">
        <v>276233.40000000002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267654.2</v>
      </c>
      <c r="U13" s="27">
        <v>51782.37</v>
      </c>
      <c r="V13" s="27">
        <f>SUM(F13:U13)</f>
        <v>12245881.069999998</v>
      </c>
      <c r="W13" s="27">
        <f>$D$6-SUM(V$10:V13)</f>
        <v>169093192.53</v>
      </c>
      <c r="X13" s="13"/>
      <c r="Y13" s="12"/>
    </row>
    <row r="14" spans="1:25" ht="15" x14ac:dyDescent="0.2">
      <c r="A14" s="3"/>
      <c r="B14" s="24">
        <v>1819</v>
      </c>
      <c r="C14" s="26">
        <v>44750</v>
      </c>
      <c r="D14" s="26">
        <v>44756</v>
      </c>
      <c r="E14" s="26" t="s">
        <v>83</v>
      </c>
      <c r="F14" s="27">
        <v>959471.72</v>
      </c>
      <c r="G14" s="27">
        <v>0</v>
      </c>
      <c r="H14" s="27">
        <v>0</v>
      </c>
      <c r="I14" s="27">
        <v>0</v>
      </c>
      <c r="J14" s="27">
        <v>0</v>
      </c>
      <c r="K14" s="27"/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36406.6</v>
      </c>
      <c r="V14" s="27">
        <f>SUM(F14:U14)</f>
        <v>995878.32</v>
      </c>
      <c r="W14" s="27">
        <f>$D$6-SUM(V$10:V14)</f>
        <v>168097314.21000001</v>
      </c>
      <c r="X14" s="13"/>
      <c r="Y14" s="12"/>
    </row>
    <row r="15" spans="1:25" ht="15" x14ac:dyDescent="0.2">
      <c r="A15" s="3"/>
      <c r="B15" s="24" t="s">
        <v>84</v>
      </c>
      <c r="C15" s="26">
        <v>44781</v>
      </c>
      <c r="D15" s="26">
        <v>44785</v>
      </c>
      <c r="E15" s="26" t="s">
        <v>70</v>
      </c>
      <c r="F15" s="27">
        <f>10810697-F10-385000</f>
        <v>0</v>
      </c>
      <c r="G15" s="27">
        <v>0</v>
      </c>
      <c r="H15" s="27">
        <v>0</v>
      </c>
      <c r="I15" s="27">
        <v>0</v>
      </c>
      <c r="J15" s="27">
        <v>0</v>
      </c>
      <c r="K15" s="11">
        <f>489383.27-K10</f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10">
        <f>738975.47-U10</f>
        <v>0</v>
      </c>
      <c r="V15" s="27">
        <f t="shared" ref="V15" si="0">SUM(F15:U15)</f>
        <v>0</v>
      </c>
      <c r="W15" s="27">
        <f>$D$6-SUM(V$10:V15)</f>
        <v>168097314.21000001</v>
      </c>
      <c r="X15" s="13"/>
      <c r="Y15" s="12"/>
    </row>
    <row r="16" spans="1:25" ht="15" x14ac:dyDescent="0.2">
      <c r="A16" s="3"/>
      <c r="B16" s="24">
        <v>2612</v>
      </c>
      <c r="C16" s="26">
        <v>44820</v>
      </c>
      <c r="D16" s="26">
        <v>44834</v>
      </c>
      <c r="E16" s="26" t="s">
        <v>126</v>
      </c>
      <c r="F16" s="27">
        <v>2655596.67</v>
      </c>
      <c r="G16" s="27">
        <v>0</v>
      </c>
      <c r="H16" s="27">
        <v>0</v>
      </c>
      <c r="I16" s="27">
        <v>115844.89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616708.99</v>
      </c>
      <c r="P16" s="27">
        <v>32313.599999999999</v>
      </c>
      <c r="Q16" s="27">
        <v>0</v>
      </c>
      <c r="R16" s="27">
        <v>0</v>
      </c>
      <c r="S16" s="27">
        <v>57946.21</v>
      </c>
      <c r="T16" s="27">
        <v>0</v>
      </c>
      <c r="U16" s="27">
        <v>181612.85</v>
      </c>
      <c r="V16" s="27">
        <f t="shared" ref="V16" si="1">SUM(F16:U16)</f>
        <v>3660023.21</v>
      </c>
      <c r="W16" s="27">
        <f>$D$6-SUM(V$10:V16)</f>
        <v>164437291</v>
      </c>
      <c r="X16" s="13"/>
      <c r="Y16" s="12"/>
    </row>
    <row r="17" spans="1:25" ht="15" x14ac:dyDescent="0.2">
      <c r="A17" s="3"/>
      <c r="B17" s="21"/>
      <c r="C17" s="21"/>
      <c r="D17" s="26"/>
      <c r="E17" s="26"/>
      <c r="F17" s="10"/>
      <c r="G17" s="22"/>
      <c r="H17" s="14"/>
      <c r="I17" s="14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0"/>
      <c r="V17" s="10"/>
      <c r="W17" s="10"/>
      <c r="X17" s="13"/>
      <c r="Y17" s="12"/>
    </row>
    <row r="18" spans="1:25" ht="15" x14ac:dyDescent="0.2">
      <c r="A18" s="3"/>
      <c r="B18" s="21"/>
      <c r="C18" s="21"/>
      <c r="D18" s="26"/>
      <c r="E18" s="26"/>
      <c r="F18" s="10"/>
      <c r="G18" s="22"/>
      <c r="H18" s="14"/>
      <c r="I18" s="14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0"/>
      <c r="V18" s="10"/>
      <c r="W18" s="10"/>
      <c r="X18" s="13"/>
      <c r="Y18" s="12"/>
    </row>
    <row r="19" spans="1:25" ht="15" x14ac:dyDescent="0.2">
      <c r="A19" s="3"/>
      <c r="B19" s="21"/>
      <c r="C19" s="21"/>
      <c r="D19" s="26"/>
      <c r="E19" s="26"/>
      <c r="F19" s="10"/>
      <c r="G19" s="22"/>
      <c r="H19" s="14"/>
      <c r="I19" s="14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0"/>
      <c r="V19" s="10"/>
      <c r="W19" s="10"/>
      <c r="X19" s="13"/>
      <c r="Y19" s="12"/>
    </row>
    <row r="20" spans="1:25" ht="15" x14ac:dyDescent="0.2">
      <c r="A20" s="3"/>
      <c r="B20" s="21"/>
      <c r="C20" s="21"/>
      <c r="D20" s="26"/>
      <c r="E20" s="26"/>
      <c r="F20" s="10"/>
      <c r="G20" s="22"/>
      <c r="H20" s="14"/>
      <c r="I20" s="14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0"/>
      <c r="V20" s="10"/>
      <c r="W20" s="10"/>
      <c r="X20" s="13"/>
      <c r="Y20" s="12"/>
    </row>
    <row r="21" spans="1:25" ht="15" x14ac:dyDescent="0.2">
      <c r="A21" s="3"/>
      <c r="B21" s="21"/>
      <c r="C21" s="21"/>
      <c r="D21" s="26"/>
      <c r="E21" s="26"/>
      <c r="F21" s="10"/>
      <c r="G21" s="22"/>
      <c r="H21" s="14"/>
      <c r="I21" s="14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0"/>
      <c r="V21" s="10"/>
      <c r="W21" s="10"/>
      <c r="X21" s="13"/>
      <c r="Y21" s="12"/>
    </row>
    <row r="22" spans="1:25" ht="15" x14ac:dyDescent="0.2">
      <c r="A22" s="3"/>
      <c r="B22" s="21"/>
      <c r="C22" s="21"/>
      <c r="D22" s="26"/>
      <c r="E22" s="26"/>
      <c r="F22" s="10"/>
      <c r="G22" s="22"/>
      <c r="H22" s="14"/>
      <c r="I22" s="14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0"/>
      <c r="V22" s="10"/>
      <c r="W22" s="10"/>
      <c r="X22" s="13"/>
      <c r="Y22" s="12"/>
    </row>
    <row r="23" spans="1:25" ht="15" x14ac:dyDescent="0.2">
      <c r="A23" s="3"/>
      <c r="B23" s="21"/>
      <c r="C23" s="21"/>
      <c r="D23" s="26"/>
      <c r="E23" s="26"/>
      <c r="F23" s="10"/>
      <c r="G23" s="22"/>
      <c r="H23" s="14"/>
      <c r="I23" s="1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0"/>
      <c r="V23" s="10"/>
      <c r="W23" s="10"/>
      <c r="X23" s="13"/>
      <c r="Y23" s="12"/>
    </row>
    <row r="24" spans="1:25" ht="15" x14ac:dyDescent="0.2">
      <c r="A24" s="3"/>
      <c r="B24" s="21"/>
      <c r="C24" s="21"/>
      <c r="D24" s="26"/>
      <c r="E24" s="26"/>
      <c r="F24" s="10"/>
      <c r="G24" s="22"/>
      <c r="H24" s="14"/>
      <c r="I24" s="1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0"/>
      <c r="V24" s="10"/>
      <c r="W24" s="10"/>
      <c r="X24" s="13"/>
      <c r="Y24" s="12"/>
    </row>
    <row r="25" spans="1:25" ht="15" x14ac:dyDescent="0.2">
      <c r="A25" s="3"/>
      <c r="B25" s="21"/>
      <c r="C25" s="21"/>
      <c r="D25" s="26"/>
      <c r="E25" s="26"/>
      <c r="F25" s="10"/>
      <c r="G25" s="22"/>
      <c r="H25" s="14"/>
      <c r="I25" s="14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0"/>
      <c r="V25" s="10"/>
      <c r="W25" s="10"/>
      <c r="X25" s="13"/>
      <c r="Y25" s="12"/>
    </row>
    <row r="26" spans="1:25" ht="15" x14ac:dyDescent="0.2">
      <c r="A26" s="3"/>
      <c r="B26" s="21"/>
      <c r="C26" s="21"/>
      <c r="D26" s="26"/>
      <c r="E26" s="26"/>
      <c r="F26" s="10"/>
      <c r="G26" s="22"/>
      <c r="H26" s="14"/>
      <c r="I26" s="14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0"/>
      <c r="V26" s="10"/>
      <c r="W26" s="10"/>
      <c r="X26" s="13"/>
      <c r="Y26" s="12"/>
    </row>
    <row r="27" spans="1:25" ht="15" x14ac:dyDescent="0.2">
      <c r="A27" s="3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12"/>
      <c r="Y27" s="12"/>
    </row>
    <row r="28" spans="1:25" x14ac:dyDescent="0.2">
      <c r="A28" s="3"/>
      <c r="B28" s="3"/>
      <c r="C28" s="3"/>
      <c r="D28" s="3"/>
      <c r="E28" s="3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3"/>
    </row>
    <row r="29" spans="1:25" ht="15" x14ac:dyDescent="0.2">
      <c r="A29" s="3"/>
      <c r="B29" s="3"/>
      <c r="C29" s="3"/>
      <c r="D29" s="3"/>
      <c r="E29" s="3"/>
      <c r="F29" s="1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5" ht="15" x14ac:dyDescent="0.2">
      <c r="A30" s="3"/>
      <c r="F30" s="1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5" ht="15" x14ac:dyDescent="0.2">
      <c r="F31" s="1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5" ht="15" x14ac:dyDescent="0.2">
      <c r="F32" s="1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</sheetData>
  <autoFilter ref="B8:W13" xr:uid="{04F8475C-F52E-472F-AC6C-BF0D9FE415BC}"/>
  <mergeCells count="6">
    <mergeCell ref="W8:W9"/>
    <mergeCell ref="B8:B9"/>
    <mergeCell ref="C8:C9"/>
    <mergeCell ref="D8:D9"/>
    <mergeCell ref="E8:E9"/>
    <mergeCell ref="V8:V9"/>
  </mergeCells>
  <hyperlinks>
    <hyperlink ref="H4" r:id="rId1" xr:uid="{E174FC6D-BFD2-482D-946B-CA2CE4C34695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24FF-E8A9-492B-9E5B-5420BF6E6F4F}">
  <dimension ref="A1:T33"/>
  <sheetViews>
    <sheetView showGridLines="0" zoomScale="85" zoomScaleNormal="85" workbookViewId="0"/>
  </sheetViews>
  <sheetFormatPr defaultColWidth="8.85546875" defaultRowHeight="12.75" x14ac:dyDescent="0.2"/>
  <cols>
    <col min="1" max="1" width="3.85546875" style="1" customWidth="1"/>
    <col min="2" max="3" width="13.85546875" style="1" customWidth="1"/>
    <col min="4" max="6" width="20" style="1" customWidth="1"/>
    <col min="7" max="10" width="18.42578125" style="1" customWidth="1"/>
    <col min="11" max="11" width="5.140625" style="1" bestFit="1" customWidth="1"/>
    <col min="12" max="14" width="13.85546875" style="1" customWidth="1"/>
    <col min="15" max="20" width="15.85546875" style="1" customWidth="1"/>
    <col min="21" max="16384" width="8.85546875" style="1"/>
  </cols>
  <sheetData>
    <row r="1" spans="1:20" ht="23.25" x14ac:dyDescent="0.35">
      <c r="B1" s="2" t="s">
        <v>14</v>
      </c>
      <c r="C1" s="2"/>
      <c r="H1" s="2"/>
      <c r="I1" s="2"/>
      <c r="J1" s="2"/>
    </row>
    <row r="2" spans="1:20" ht="15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20" ht="15.75" x14ac:dyDescent="0.2">
      <c r="A3" s="3"/>
      <c r="B3" s="5" t="s">
        <v>6</v>
      </c>
      <c r="C3" s="5"/>
      <c r="D3" s="5" t="s">
        <v>30</v>
      </c>
      <c r="E3" s="5"/>
      <c r="F3" s="5"/>
      <c r="H3" s="5"/>
      <c r="I3" s="5"/>
      <c r="J3" s="5"/>
      <c r="K3" s="5"/>
    </row>
    <row r="4" spans="1:20" ht="15.75" x14ac:dyDescent="0.2">
      <c r="A4" s="3"/>
      <c r="B4" s="5" t="s">
        <v>0</v>
      </c>
      <c r="C4" s="5"/>
      <c r="D4" s="5" t="s">
        <v>33</v>
      </c>
      <c r="E4" s="5"/>
      <c r="F4" s="5"/>
      <c r="H4" s="5"/>
      <c r="I4" s="5"/>
      <c r="J4" s="5"/>
      <c r="K4" s="5"/>
    </row>
    <row r="5" spans="1:20" ht="15.75" x14ac:dyDescent="0.2">
      <c r="A5" s="3"/>
      <c r="B5" s="5" t="s">
        <v>1</v>
      </c>
      <c r="C5" s="5"/>
      <c r="D5" s="38" t="s">
        <v>6</v>
      </c>
      <c r="E5" s="38" t="s">
        <v>54</v>
      </c>
      <c r="F5" s="38" t="s">
        <v>52</v>
      </c>
      <c r="G5" s="38" t="s">
        <v>53</v>
      </c>
      <c r="H5" s="5"/>
      <c r="I5" s="5"/>
      <c r="J5" s="5"/>
      <c r="K5" s="5"/>
    </row>
    <row r="6" spans="1:20" ht="15.75" x14ac:dyDescent="0.2">
      <c r="A6" s="3"/>
      <c r="B6" s="5"/>
      <c r="C6" s="5"/>
      <c r="D6" s="28" t="s">
        <v>31</v>
      </c>
      <c r="E6" s="28">
        <v>52628710.630000003</v>
      </c>
      <c r="F6" s="28">
        <v>37567535.850000001</v>
      </c>
      <c r="G6" s="28">
        <v>15061174.779999999</v>
      </c>
      <c r="H6" s="39"/>
      <c r="I6" s="39"/>
      <c r="J6" s="12"/>
      <c r="K6" s="5"/>
    </row>
    <row r="7" spans="1:20" ht="15.75" x14ac:dyDescent="0.2">
      <c r="A7" s="3"/>
      <c r="B7" s="5"/>
      <c r="C7" s="5"/>
      <c r="D7" s="28" t="s">
        <v>32</v>
      </c>
      <c r="E7" s="28">
        <v>82211193.420000002</v>
      </c>
      <c r="F7" s="28">
        <v>42965741.100000001</v>
      </c>
      <c r="G7" s="28">
        <v>39245452.32</v>
      </c>
      <c r="H7" s="39"/>
      <c r="I7" s="39"/>
      <c r="J7" s="12"/>
      <c r="K7" s="5"/>
    </row>
    <row r="8" spans="1:20" ht="15.75" x14ac:dyDescent="0.2">
      <c r="A8" s="3"/>
      <c r="B8" s="5"/>
      <c r="C8" s="5"/>
      <c r="D8" s="28" t="s">
        <v>29</v>
      </c>
      <c r="E8" s="28">
        <v>57105364.030000001</v>
      </c>
      <c r="F8" s="28">
        <v>43935357.490000002</v>
      </c>
      <c r="G8" s="28">
        <v>13170006.539999999</v>
      </c>
      <c r="H8" s="39"/>
      <c r="I8" s="39"/>
      <c r="J8" s="46"/>
      <c r="K8" s="5"/>
    </row>
    <row r="9" spans="1:20" ht="15.75" x14ac:dyDescent="0.2">
      <c r="A9" s="3"/>
      <c r="B9" s="5"/>
      <c r="C9" s="5"/>
      <c r="D9" s="25" t="s">
        <v>2</v>
      </c>
      <c r="E9" s="25">
        <f>SUM(E6:E8)</f>
        <v>191945268.08000001</v>
      </c>
      <c r="F9" s="25">
        <f t="shared" ref="F9:G9" si="0">SUM(F6:F8)</f>
        <v>124468634.44</v>
      </c>
      <c r="G9" s="25">
        <f t="shared" si="0"/>
        <v>67476633.640000001</v>
      </c>
      <c r="H9" s="39"/>
      <c r="I9" s="39"/>
      <c r="J9" s="5"/>
      <c r="K9" s="5"/>
    </row>
    <row r="10" spans="1:20" ht="15.75" x14ac:dyDescent="0.2">
      <c r="A10" s="3"/>
      <c r="B10" s="5"/>
      <c r="C10" s="5"/>
      <c r="D10" s="25"/>
      <c r="E10" s="25"/>
      <c r="F10" s="23"/>
      <c r="G10" s="5"/>
      <c r="H10" s="5"/>
      <c r="I10" s="5"/>
      <c r="J10" s="5"/>
      <c r="K10" s="5"/>
      <c r="O10" s="49" t="s">
        <v>122</v>
      </c>
      <c r="P10" s="49"/>
      <c r="Q10" s="49"/>
      <c r="R10" s="49" t="s">
        <v>123</v>
      </c>
      <c r="S10" s="49"/>
      <c r="T10" s="49"/>
    </row>
    <row r="11" spans="1:20" ht="45" x14ac:dyDescent="0.2">
      <c r="A11" s="7"/>
      <c r="B11" s="8" t="s">
        <v>35</v>
      </c>
      <c r="C11" s="8" t="s">
        <v>16</v>
      </c>
      <c r="D11" s="8" t="s">
        <v>36</v>
      </c>
      <c r="E11" s="8" t="s">
        <v>34</v>
      </c>
      <c r="F11" s="8" t="s">
        <v>37</v>
      </c>
      <c r="G11" s="8" t="s">
        <v>38</v>
      </c>
      <c r="H11" s="8" t="s">
        <v>39</v>
      </c>
      <c r="I11" s="8" t="s">
        <v>155</v>
      </c>
      <c r="J11" s="8" t="s">
        <v>17</v>
      </c>
      <c r="K11" s="9"/>
      <c r="L11" s="8" t="s">
        <v>40</v>
      </c>
      <c r="M11" s="8" t="s">
        <v>41</v>
      </c>
      <c r="N11" s="8" t="s">
        <v>42</v>
      </c>
      <c r="O11" s="8" t="s">
        <v>29</v>
      </c>
      <c r="P11" s="8" t="s">
        <v>31</v>
      </c>
      <c r="Q11" s="8" t="s">
        <v>32</v>
      </c>
      <c r="R11" s="8" t="s">
        <v>29</v>
      </c>
      <c r="S11" s="8" t="s">
        <v>31</v>
      </c>
      <c r="T11" s="8" t="s">
        <v>32</v>
      </c>
    </row>
    <row r="12" spans="1:20" ht="15" x14ac:dyDescent="0.2">
      <c r="A12" s="3"/>
      <c r="B12" s="26">
        <v>44657</v>
      </c>
      <c r="C12" s="26">
        <v>44665</v>
      </c>
      <c r="D12" s="27" t="s">
        <v>29</v>
      </c>
      <c r="E12" s="36">
        <v>0.17</v>
      </c>
      <c r="F12" s="37">
        <f t="shared" ref="F12:F22" si="1">VLOOKUP(E12,$L$12:$N$20,2,TRUE)</f>
        <v>0.1</v>
      </c>
      <c r="G12" s="37">
        <f t="shared" ref="G12:G22" si="2">VLOOKUP(E12,$L$12:$N$20,3,TRUE)</f>
        <v>0.1</v>
      </c>
      <c r="H12" s="27">
        <v>5625056.6500000004</v>
      </c>
      <c r="I12" s="27">
        <f>SUMIF(D$12:D12,D12,H$12:H12)</f>
        <v>5625056.6500000004</v>
      </c>
      <c r="J12" s="27">
        <f>VLOOKUP(D12,$D$6:$E$8,2,0)-SUMIF(D$12:D12,D12,H$12:H12)</f>
        <v>51480307.380000003</v>
      </c>
      <c r="K12" s="50" t="str">
        <f>IF(D12="","",IF(SUMIF(D$12:D12,D12,H$12:H12)&lt;=IF(D12="Silves",VLOOKUP($F12,$M$12:$T$20,6,0),IF(D12="Itapiranga",VLOOKUP($F12,$M$12:$T$20,7,0),VLOOKUP($F12,$M$12:$T$20,8,0))),"ok","verificar"))</f>
        <v>ok</v>
      </c>
      <c r="L12" s="29">
        <v>0.17</v>
      </c>
      <c r="M12" s="29">
        <v>0.1</v>
      </c>
      <c r="N12" s="29">
        <f>M12</f>
        <v>0.1</v>
      </c>
      <c r="O12" s="47">
        <f>N12*$E$8</f>
        <v>5710536.4030000009</v>
      </c>
      <c r="P12" s="47">
        <f>$E$6*N12</f>
        <v>5262871.063000001</v>
      </c>
      <c r="Q12" s="47">
        <f>N12*$E$7</f>
        <v>8221119.3420000002</v>
      </c>
      <c r="R12" s="47">
        <f>SUM(O$12:O12)</f>
        <v>5710536.4030000009</v>
      </c>
      <c r="S12" s="47">
        <f>SUM(P$12:P12)</f>
        <v>5262871.063000001</v>
      </c>
      <c r="T12" s="47">
        <f>SUM(Q$12:Q12)</f>
        <v>8221119.3420000002</v>
      </c>
    </row>
    <row r="13" spans="1:20" ht="15" x14ac:dyDescent="0.2">
      <c r="A13" s="3"/>
      <c r="B13" s="26">
        <v>44691</v>
      </c>
      <c r="C13" s="26">
        <v>44694</v>
      </c>
      <c r="D13" s="27" t="s">
        <v>32</v>
      </c>
      <c r="E13" s="36">
        <v>0.27400000000000002</v>
      </c>
      <c r="F13" s="37">
        <f t="shared" si="1"/>
        <v>0.1</v>
      </c>
      <c r="G13" s="37">
        <f t="shared" si="2"/>
        <v>0.1</v>
      </c>
      <c r="H13" s="27">
        <v>7670523.4800000004</v>
      </c>
      <c r="I13" s="27">
        <f>SUMIF(D$12:D13,D13,H$12:H13)</f>
        <v>7670523.4800000004</v>
      </c>
      <c r="J13" s="27">
        <f>VLOOKUP(D13,$D$6:$E$8,2,0)-SUMIF(D$12:D13,D13,H$12:H13)</f>
        <v>74540669.939999998</v>
      </c>
      <c r="K13" s="50" t="str">
        <f>IF(D13="","",IF(SUMIF(D$12:D13,D13,H$12:H13)&lt;=IF(D13="Silves",VLOOKUP($F13,$M$12:$T$20,6,0),IF(D13="Itapiranga",VLOOKUP($F13,$M$12:$T$20,7,0),VLOOKUP($F13,$M$12:$T$20,8,0))),"ok","verificar"))</f>
        <v>ok</v>
      </c>
      <c r="L13" s="29">
        <v>0.4</v>
      </c>
      <c r="M13" s="29">
        <v>0.22</v>
      </c>
      <c r="N13" s="29">
        <f>M13-SUM(N$12:N12)</f>
        <v>0.12</v>
      </c>
      <c r="O13" s="47">
        <f t="shared" ref="O13:O19" si="3">N13*$E$8</f>
        <v>6852643.6836000001</v>
      </c>
      <c r="P13" s="47">
        <f t="shared" ref="P13:P19" si="4">$E$6*N13</f>
        <v>6315445.2756000003</v>
      </c>
      <c r="Q13" s="47">
        <f t="shared" ref="Q13:Q19" si="5">N13*$E$7</f>
        <v>9865343.2104000002</v>
      </c>
      <c r="R13" s="47">
        <f>SUM(O$12:O13)</f>
        <v>12563180.086600002</v>
      </c>
      <c r="S13" s="47">
        <f>SUM(P$12:P13)</f>
        <v>11578316.338600002</v>
      </c>
      <c r="T13" s="47">
        <f>SUM(Q$12:Q13)</f>
        <v>18086462.5524</v>
      </c>
    </row>
    <row r="14" spans="1:20" ht="15" x14ac:dyDescent="0.2">
      <c r="A14" s="3"/>
      <c r="B14" s="26">
        <v>44694</v>
      </c>
      <c r="C14" s="26">
        <v>44712</v>
      </c>
      <c r="D14" s="27" t="s">
        <v>31</v>
      </c>
      <c r="E14" s="36">
        <v>0.17</v>
      </c>
      <c r="F14" s="37">
        <f t="shared" si="1"/>
        <v>0.1</v>
      </c>
      <c r="G14" s="37">
        <f t="shared" si="2"/>
        <v>0.1</v>
      </c>
      <c r="H14" s="27">
        <v>5223874.4400000004</v>
      </c>
      <c r="I14" s="27">
        <f>SUMIF(D$12:D14,D14,H$12:H14)</f>
        <v>5223874.4400000004</v>
      </c>
      <c r="J14" s="27">
        <f>VLOOKUP(D14,$D$6:$E$8,2,0)-SUMIF(D$12:D14,D14,H$12:H14)</f>
        <v>47404836.190000005</v>
      </c>
      <c r="K14" s="50" t="str">
        <f>IF(D14="","",IF(SUMIF(D$12:D14,D14,H$12:H14)&lt;=IF(D14="Silves",VLOOKUP($F14,$M$12:$T$20,6,0),IF(D14="Itapiranga",VLOOKUP($F14,$M$12:$T$20,7,0),VLOOKUP($F14,$M$12:$T$20,8,0))),"ok","verificar"))</f>
        <v>ok</v>
      </c>
      <c r="L14" s="29">
        <v>0.53</v>
      </c>
      <c r="M14" s="29">
        <v>0.34</v>
      </c>
      <c r="N14" s="29">
        <f>M14-SUM(N$12:N13)</f>
        <v>0.12000000000000002</v>
      </c>
      <c r="O14" s="47">
        <f t="shared" si="3"/>
        <v>6852643.683600001</v>
      </c>
      <c r="P14" s="47">
        <f t="shared" si="4"/>
        <v>6315445.2756000012</v>
      </c>
      <c r="Q14" s="47">
        <f t="shared" si="5"/>
        <v>9865343.2104000021</v>
      </c>
      <c r="R14" s="47">
        <f>SUM(O$12:O14)</f>
        <v>19415823.770200003</v>
      </c>
      <c r="S14" s="47">
        <f>SUM(P$12:P14)</f>
        <v>17893761.614200003</v>
      </c>
      <c r="T14" s="47">
        <f>SUM(Q$12:Q14)</f>
        <v>27951805.762800001</v>
      </c>
    </row>
    <row r="15" spans="1:20" ht="15" x14ac:dyDescent="0.2">
      <c r="A15" s="3"/>
      <c r="B15" s="26">
        <v>44796</v>
      </c>
      <c r="C15" s="26">
        <v>44804</v>
      </c>
      <c r="D15" s="27" t="s">
        <v>29</v>
      </c>
      <c r="E15" s="36">
        <v>0.44</v>
      </c>
      <c r="F15" s="37">
        <f t="shared" si="1"/>
        <v>0.22</v>
      </c>
      <c r="G15" s="37">
        <f t="shared" si="2"/>
        <v>0.12</v>
      </c>
      <c r="H15" s="27">
        <v>6742260.8700000001</v>
      </c>
      <c r="I15" s="27">
        <f>SUMIF(D$12:D15,D15,H$12:H15)</f>
        <v>12367317.52</v>
      </c>
      <c r="J15" s="27">
        <f>VLOOKUP(D15,$D$6:$E$8,2,0)-SUMIF(D$12:D15,D15,H$12:H15)</f>
        <v>44738046.510000005</v>
      </c>
      <c r="K15" s="50" t="str">
        <f>IF(D15="","",IF(SUMIF(D$12:D15,D15,H$12:H15)&lt;=IF(D15="Silves",VLOOKUP($F15,$M$12:$T$20,6,0),IF(D15="Itapiranga",VLOOKUP($F15,$M$12:$T$20,7,0),VLOOKUP($F15,$M$12:$T$20,8,0))),"ok","verificar"))</f>
        <v>ok</v>
      </c>
      <c r="L15" s="29">
        <v>0.6</v>
      </c>
      <c r="M15" s="29">
        <v>0.46</v>
      </c>
      <c r="N15" s="29">
        <f>M15-SUM(N$12:N14)</f>
        <v>0.12</v>
      </c>
      <c r="O15" s="47">
        <f t="shared" si="3"/>
        <v>6852643.6836000001</v>
      </c>
      <c r="P15" s="47">
        <f t="shared" si="4"/>
        <v>6315445.2756000003</v>
      </c>
      <c r="Q15" s="47">
        <f t="shared" si="5"/>
        <v>9865343.2104000002</v>
      </c>
      <c r="R15" s="47">
        <f>SUM(O$12:O15)</f>
        <v>26268467.453800004</v>
      </c>
      <c r="S15" s="47">
        <f>SUM(P$12:P15)</f>
        <v>24209206.889800005</v>
      </c>
      <c r="T15" s="47">
        <f>SUM(Q$12:Q15)</f>
        <v>37817148.973200001</v>
      </c>
    </row>
    <row r="16" spans="1:20" ht="15" x14ac:dyDescent="0.2">
      <c r="A16" s="3"/>
      <c r="B16" s="26">
        <v>44796</v>
      </c>
      <c r="C16" s="26">
        <v>44804</v>
      </c>
      <c r="D16" s="27" t="s">
        <v>32</v>
      </c>
      <c r="E16" s="36">
        <v>0.4</v>
      </c>
      <c r="F16" s="37">
        <f t="shared" si="1"/>
        <v>0.22</v>
      </c>
      <c r="G16" s="37">
        <f t="shared" si="2"/>
        <v>0.12</v>
      </c>
      <c r="H16" s="27">
        <v>7061734.5300000003</v>
      </c>
      <c r="I16" s="27">
        <f>SUMIF(D$12:D16,D16,H$12:H16)</f>
        <v>14732258.010000002</v>
      </c>
      <c r="J16" s="27">
        <f>VLOOKUP(D16,$D$6:$E$8,2,0)-SUMIF(D$12:D16,D16,H$12:H16)</f>
        <v>67478935.409999996</v>
      </c>
      <c r="K16" s="50" t="str">
        <f>IF(D16="","",IF(SUMIF(D$12:D16,D16,H$12:H16)&lt;=IF(D16="Silves",VLOOKUP($F16,$M$12:$T$20,6,0),IF(D16="Itapiranga",VLOOKUP($F16,$M$12:$T$20,7,0),VLOOKUP($F16,$M$12:$T$20,8,0))),"ok","verificar"))</f>
        <v>ok</v>
      </c>
      <c r="L16" s="29">
        <v>0.69</v>
      </c>
      <c r="M16" s="29">
        <v>0.57999999999999996</v>
      </c>
      <c r="N16" s="29">
        <f>M16-SUM(N$12:N15)</f>
        <v>0.11999999999999994</v>
      </c>
      <c r="O16" s="47">
        <f t="shared" si="3"/>
        <v>6852643.6835999964</v>
      </c>
      <c r="P16" s="47">
        <f t="shared" si="4"/>
        <v>6315445.2755999975</v>
      </c>
      <c r="Q16" s="47">
        <f t="shared" si="5"/>
        <v>9865343.2103999946</v>
      </c>
      <c r="R16" s="47">
        <f>SUM(O$12:O16)</f>
        <v>33121111.137400001</v>
      </c>
      <c r="S16" s="47">
        <f>SUM(P$12:P16)</f>
        <v>30524652.165400002</v>
      </c>
      <c r="T16" s="47">
        <f>SUM(Q$12:Q16)</f>
        <v>47682492.183599994</v>
      </c>
    </row>
    <row r="17" spans="1:20" ht="15" x14ac:dyDescent="0.2">
      <c r="A17" s="3"/>
      <c r="B17" s="26">
        <v>44797</v>
      </c>
      <c r="C17" s="26">
        <v>44804</v>
      </c>
      <c r="D17" s="27" t="s">
        <v>31</v>
      </c>
      <c r="E17" s="36">
        <v>0.4</v>
      </c>
      <c r="F17" s="37">
        <f t="shared" si="1"/>
        <v>0.22</v>
      </c>
      <c r="G17" s="37">
        <f t="shared" si="2"/>
        <v>0.12</v>
      </c>
      <c r="H17" s="27">
        <f>6315547.57</f>
        <v>6315547.5700000003</v>
      </c>
      <c r="I17" s="27">
        <f>SUMIF(D$12:D17,D17,H$12:H17)</f>
        <v>11539422.010000002</v>
      </c>
      <c r="J17" s="27">
        <f>VLOOKUP(D17,$D$6:$E$8,2,0)-SUMIF(D$12:D17,D17,H$12:H17)</f>
        <v>41089288.620000005</v>
      </c>
      <c r="K17" s="50" t="str">
        <f>IF(D17="","",IF(SUMIF(D$12:D17,D17,H$12:H17)&lt;=IF(D17="Silves",VLOOKUP($F17,$M$12:$T$20,6,0),IF(D17="Itapiranga",VLOOKUP($F17,$M$12:$T$20,7,0),VLOOKUP($F17,$M$12:$T$20,8,0))),"ok","verificar"))</f>
        <v>ok</v>
      </c>
      <c r="L17" s="29">
        <v>0.77</v>
      </c>
      <c r="M17" s="29">
        <v>0.7</v>
      </c>
      <c r="N17" s="29">
        <f>M17-SUM(N$12:N16)</f>
        <v>0.12</v>
      </c>
      <c r="O17" s="47">
        <f t="shared" si="3"/>
        <v>6852643.6836000001</v>
      </c>
      <c r="P17" s="47">
        <f t="shared" si="4"/>
        <v>6315445.2756000003</v>
      </c>
      <c r="Q17" s="47">
        <f t="shared" si="5"/>
        <v>9865343.2104000002</v>
      </c>
      <c r="R17" s="47">
        <f>SUM(O$12:O17)</f>
        <v>39973754.821000002</v>
      </c>
      <c r="S17" s="47">
        <f>SUM(P$12:P17)</f>
        <v>36840097.441</v>
      </c>
      <c r="T17" s="47">
        <f>SUM(Q$12:Q17)</f>
        <v>57547835.393999994</v>
      </c>
    </row>
    <row r="18" spans="1:20" ht="15" x14ac:dyDescent="0.2">
      <c r="A18" s="3"/>
      <c r="B18" s="26">
        <v>44859</v>
      </c>
      <c r="C18" s="26">
        <v>44865</v>
      </c>
      <c r="D18" s="27" t="s">
        <v>29</v>
      </c>
      <c r="E18" s="36">
        <v>0.53</v>
      </c>
      <c r="F18" s="37">
        <f t="shared" si="1"/>
        <v>0.34</v>
      </c>
      <c r="G18" s="37">
        <f t="shared" si="2"/>
        <v>0.12000000000000002</v>
      </c>
      <c r="H18" s="27">
        <f>6850906.94-7540</f>
        <v>6843366.9400000004</v>
      </c>
      <c r="I18" s="27">
        <f>SUMIF(D$12:D18,D18,H$12:H18)</f>
        <v>19210684.460000001</v>
      </c>
      <c r="J18" s="27">
        <f>VLOOKUP(D18,$D$6:$E$8,2,0)-SUMIF(D$12:D18,D18,H$12:H18)</f>
        <v>37894679.57</v>
      </c>
      <c r="K18" s="50" t="str">
        <f>IF(D18="","",IF(SUMIF(D$12:D18,D18,H$12:H18)&lt;=IF(D18="Silves",VLOOKUP($F18,$M$12:$T$20,6,0),IF(D18="Itapiranga",VLOOKUP($F18,$M$12:$T$20,7,0),VLOOKUP($F18,$M$12:$T$20,8,0))),"ok","verificar"))</f>
        <v>ok</v>
      </c>
      <c r="L18" s="29">
        <v>0.86</v>
      </c>
      <c r="M18" s="29">
        <v>0.82</v>
      </c>
      <c r="N18" s="29">
        <f>M18-SUM(N$12:N17)</f>
        <v>0.12</v>
      </c>
      <c r="O18" s="47">
        <f t="shared" si="3"/>
        <v>6852643.6836000001</v>
      </c>
      <c r="P18" s="47">
        <f t="shared" si="4"/>
        <v>6315445.2756000003</v>
      </c>
      <c r="Q18" s="47">
        <f t="shared" si="5"/>
        <v>9865343.2104000002</v>
      </c>
      <c r="R18" s="47">
        <f>SUM(O$12:O18)</f>
        <v>46826398.504600003</v>
      </c>
      <c r="S18" s="47">
        <f>SUM(P$12:P18)</f>
        <v>43155542.716600001</v>
      </c>
      <c r="T18" s="47">
        <f>SUM(Q$12:Q18)</f>
        <v>67413178.604399994</v>
      </c>
    </row>
    <row r="19" spans="1:20" ht="15" x14ac:dyDescent="0.2">
      <c r="A19" s="3"/>
      <c r="B19" s="26">
        <v>44859</v>
      </c>
      <c r="C19" s="26">
        <v>44865</v>
      </c>
      <c r="D19" s="27" t="s">
        <v>31</v>
      </c>
      <c r="E19" s="36">
        <v>0.53</v>
      </c>
      <c r="F19" s="37">
        <f t="shared" si="1"/>
        <v>0.34</v>
      </c>
      <c r="G19" s="37">
        <f t="shared" si="2"/>
        <v>0.12000000000000002</v>
      </c>
      <c r="H19" s="27">
        <v>4235995.4800000004</v>
      </c>
      <c r="I19" s="27">
        <f>SUMIF(D$12:D19,D19,H$12:H19)</f>
        <v>15775417.490000002</v>
      </c>
      <c r="J19" s="27">
        <f>VLOOKUP(D19,$D$6:$E$8,2,0)-SUMIF(D$12:D19,D19,H$12:H19)</f>
        <v>36853293.140000001</v>
      </c>
      <c r="K19" s="50" t="str">
        <f>IF(D19="","",IF(SUMIF(D$12:D19,D19,H$12:H19)&lt;=IF(D19="Silves",VLOOKUP($F19,$M$12:$T$20,6,0),IF(D19="Itapiranga",VLOOKUP($F19,$M$12:$T$20,7,0),VLOOKUP($F19,$M$12:$T$20,8,0))),"ok","verificar"))</f>
        <v>ok</v>
      </c>
      <c r="L19" s="29">
        <v>0.97</v>
      </c>
      <c r="M19" s="29">
        <v>1</v>
      </c>
      <c r="N19" s="29">
        <f>M19-SUM(N$12:N18)</f>
        <v>0.18000000000000005</v>
      </c>
      <c r="O19" s="47">
        <f t="shared" si="3"/>
        <v>10278965.525400003</v>
      </c>
      <c r="P19" s="47">
        <f t="shared" si="4"/>
        <v>9473167.9134000037</v>
      </c>
      <c r="Q19" s="47">
        <f t="shared" si="5"/>
        <v>14798014.815600004</v>
      </c>
      <c r="R19" s="47">
        <f>SUM(O$12:O19)</f>
        <v>57105364.030000009</v>
      </c>
      <c r="S19" s="47">
        <f>SUM(P$12:P19)</f>
        <v>52628710.630000003</v>
      </c>
      <c r="T19" s="47">
        <f>SUM(Q$12:Q19)</f>
        <v>82211193.420000002</v>
      </c>
    </row>
    <row r="20" spans="1:20" ht="15" x14ac:dyDescent="0.2">
      <c r="A20" s="3"/>
      <c r="B20" s="26">
        <v>44895</v>
      </c>
      <c r="C20" s="26">
        <v>44909</v>
      </c>
      <c r="D20" s="27" t="s">
        <v>32</v>
      </c>
      <c r="E20" s="36">
        <v>0.53</v>
      </c>
      <c r="F20" s="37">
        <f t="shared" si="1"/>
        <v>0.34</v>
      </c>
      <c r="G20" s="37">
        <f t="shared" si="2"/>
        <v>0.12000000000000002</v>
      </c>
      <c r="H20" s="27">
        <v>12396834.33</v>
      </c>
      <c r="I20" s="27">
        <f>SUMIF(D$12:D20,D20,H$12:H20)</f>
        <v>27129092.340000004</v>
      </c>
      <c r="J20" s="27">
        <f>VLOOKUP(D20,$D$6:$E$8,2,0)-SUMIF(D$12:D20,D20,H$12:H20)</f>
        <v>55082101.079999998</v>
      </c>
      <c r="K20" s="50" t="str">
        <f>IF(D20="","",IF(SUMIF(D$12:D20,D20,H$12:H20)&lt;=IF(D20="Silves",VLOOKUP($F20,$M$12:$T$20,6,0),IF(D20="Itapiranga",VLOOKUP($F20,$M$12:$T$20,7,0),VLOOKUP($F20,$M$12:$T$20,8,0))),"ok","verificar"))</f>
        <v>ok</v>
      </c>
      <c r="L20" s="29">
        <v>1</v>
      </c>
      <c r="M20" s="29">
        <v>1</v>
      </c>
      <c r="N20" s="29">
        <f>M20-SUM(N$12:N19)</f>
        <v>0</v>
      </c>
      <c r="O20" s="47"/>
      <c r="P20" s="47"/>
      <c r="Q20" s="47"/>
      <c r="R20" s="47"/>
      <c r="S20" s="47"/>
      <c r="T20" s="47"/>
    </row>
    <row r="21" spans="1:20" ht="15" x14ac:dyDescent="0.2">
      <c r="A21" s="3"/>
      <c r="B21" s="26">
        <v>44903</v>
      </c>
      <c r="C21" s="26">
        <v>44909</v>
      </c>
      <c r="D21" s="27" t="s">
        <v>31</v>
      </c>
      <c r="E21" s="36">
        <v>0.6</v>
      </c>
      <c r="F21" s="37">
        <f t="shared" si="1"/>
        <v>0.46</v>
      </c>
      <c r="G21" s="37">
        <f t="shared" si="2"/>
        <v>0.12</v>
      </c>
      <c r="H21" s="27">
        <v>6997321.8300000001</v>
      </c>
      <c r="I21" s="27">
        <f>SUMIF(D$12:D21,D21,H$12:H21)</f>
        <v>22772739.32</v>
      </c>
      <c r="J21" s="27">
        <f>VLOOKUP(D21,$D$6:$E$8,2,0)-SUMIF(D$12:D21,D21,H$12:H21)</f>
        <v>29855971.310000002</v>
      </c>
      <c r="K21" s="50" t="str">
        <f>IF(D21="","",IF(SUMIF(D$12:D21,D21,H$12:H21)&lt;=IF(D21="Silves",VLOOKUP($F21,$M$12:$T$20,6,0),IF(D21="Itapiranga",VLOOKUP($F21,$M$12:$T$20,7,0),VLOOKUP($F21,$M$12:$T$20,8,0))),"ok","verificar"))</f>
        <v>ok</v>
      </c>
      <c r="L21" s="12"/>
      <c r="N21" s="29" t="s">
        <v>2</v>
      </c>
      <c r="O21" s="48">
        <f>SUM(O12:O20)</f>
        <v>57105364.030000009</v>
      </c>
      <c r="P21" s="48">
        <f t="shared" ref="P21:Q21" si="6">SUM(P12:P20)</f>
        <v>52628710.630000003</v>
      </c>
      <c r="Q21" s="48">
        <f t="shared" si="6"/>
        <v>82211193.420000002</v>
      </c>
      <c r="R21" s="48"/>
      <c r="S21" s="48"/>
      <c r="T21" s="48"/>
    </row>
    <row r="22" spans="1:20" ht="15" x14ac:dyDescent="0.2">
      <c r="A22" s="3"/>
      <c r="B22" s="26">
        <v>44903</v>
      </c>
      <c r="C22" s="26">
        <v>44909</v>
      </c>
      <c r="D22" s="27" t="s">
        <v>29</v>
      </c>
      <c r="E22" s="36">
        <v>0.6</v>
      </c>
      <c r="F22" s="37">
        <f t="shared" si="1"/>
        <v>0.46</v>
      </c>
      <c r="G22" s="37">
        <f t="shared" si="2"/>
        <v>0.12</v>
      </c>
      <c r="H22" s="27">
        <v>6850369.3899999997</v>
      </c>
      <c r="I22" s="27">
        <f>SUMIF(D$12:D22,D22,H$12:H22)</f>
        <v>26061053.850000001</v>
      </c>
      <c r="J22" s="27">
        <f>VLOOKUP(D22,$D$6:$E$8,2,0)-SUMIF(D$12:D22,D22,H$12:H22)</f>
        <v>31044310.18</v>
      </c>
      <c r="K22" s="50" t="str">
        <f>IF(D22="","",IF(SUMIF(D$12:D22,D22,H$12:H22)&lt;=IF(D22="Silves",VLOOKUP($F22,$M$12:$T$20,6,0),IF(D22="Itapiranga",VLOOKUP($F22,$M$12:$T$20,7,0),VLOOKUP($F22,$M$12:$T$20,8,0))),"ok","verificar"))</f>
        <v>ok</v>
      </c>
      <c r="L22" s="12"/>
      <c r="O22" s="40"/>
      <c r="P22" s="40"/>
      <c r="Q22" s="40"/>
    </row>
    <row r="23" spans="1:20" ht="15" x14ac:dyDescent="0.2">
      <c r="A23" s="3"/>
      <c r="B23" s="26"/>
      <c r="C23" s="26"/>
      <c r="D23" s="27"/>
      <c r="E23" s="36"/>
      <c r="F23" s="37"/>
      <c r="G23" s="37"/>
      <c r="H23" s="27"/>
      <c r="I23" s="27"/>
      <c r="J23" s="27"/>
      <c r="K23" s="50" t="str">
        <f>IF(D23="","",IF(SUMIF(D$12:D23,D23,H$12:H23)&lt;=IF(D23="Silves",VLOOKUP($F23,$M$12:$T$20,6,0),IF(D23="Itapiranga",VLOOKUP($F23,$M$12:$T$20,7,0),VLOOKUP($F23,$M$12:$T$20,8,0))),"ok","verificar"))</f>
        <v/>
      </c>
      <c r="T23" s="51"/>
    </row>
    <row r="24" spans="1:20" ht="15" x14ac:dyDescent="0.2">
      <c r="A24" s="3"/>
      <c r="B24" s="26"/>
      <c r="C24" s="26"/>
      <c r="D24" s="27"/>
      <c r="E24" s="36"/>
      <c r="F24" s="37"/>
      <c r="G24" s="37"/>
      <c r="H24" s="27"/>
      <c r="I24" s="27"/>
      <c r="J24" s="27"/>
      <c r="K24" s="50" t="str">
        <f>IF(D24="","",IF(SUMIF(D$12:D24,D24,H$12:H24)&lt;=IF(D24="Silves",VLOOKUP($F24,$M$12:$T$20,6,0),IF(D24="Itapiranga",VLOOKUP($F24,$M$12:$T$20,7,0),VLOOKUP($F24,$M$12:$T$20,8,0))),"ok","verificar"))</f>
        <v/>
      </c>
      <c r="T24" s="40"/>
    </row>
    <row r="25" spans="1:20" ht="15" x14ac:dyDescent="0.2">
      <c r="A25" s="3"/>
      <c r="B25" s="26"/>
      <c r="C25" s="26"/>
      <c r="D25" s="27"/>
      <c r="E25" s="36"/>
      <c r="F25" s="37"/>
      <c r="G25" s="37"/>
      <c r="H25" s="27"/>
      <c r="I25" s="27"/>
      <c r="J25" s="27"/>
      <c r="K25" s="50" t="str">
        <f>IF(D25="","",IF(SUMIF(D$12:D25,D25,H$12:H25)&lt;=IF(D25="Silves",VLOOKUP($F25,$M$12:$T$20,6,0),IF(D25="Itapiranga",VLOOKUP($F25,$M$12:$T$20,7,0),VLOOKUP($F25,$M$12:$T$20,8,0))),"ok","verificar"))</f>
        <v/>
      </c>
      <c r="L25" s="12"/>
    </row>
    <row r="26" spans="1:20" ht="15" x14ac:dyDescent="0.2">
      <c r="A26" s="3"/>
      <c r="B26" s="26"/>
      <c r="C26" s="26"/>
      <c r="D26" s="27"/>
      <c r="E26" s="36"/>
      <c r="F26" s="37"/>
      <c r="G26" s="37"/>
      <c r="H26" s="27"/>
      <c r="I26" s="27"/>
      <c r="J26" s="27"/>
      <c r="K26" s="50" t="str">
        <f>IF(D26="","",IF(SUMIF(D$12:D26,D26,H$12:H26)&lt;=IF(D26="Silves",VLOOKUP($F26,$M$12:$T$20,6,0),IF(D26="Itapiranga",VLOOKUP($F26,$M$12:$T$20,7,0),VLOOKUP($F26,$M$12:$T$20,8,0))),"ok","verificar"))</f>
        <v/>
      </c>
      <c r="L26" s="12"/>
    </row>
    <row r="27" spans="1:20" ht="15" x14ac:dyDescent="0.2">
      <c r="A27" s="3"/>
      <c r="B27" s="26"/>
      <c r="C27" s="26"/>
      <c r="D27" s="27"/>
      <c r="E27" s="36"/>
      <c r="F27" s="37"/>
      <c r="G27" s="37"/>
      <c r="H27" s="27"/>
      <c r="I27" s="27"/>
      <c r="J27" s="27"/>
      <c r="K27" s="50" t="str">
        <f>IF(D27="","",IF(SUMIF(D$12:D27,D27,H$12:H27)&lt;=IF(D27="Silves",VLOOKUP($F27,$M$12:$T$20,6,0),IF(D27="Itapiranga",VLOOKUP($F27,$M$12:$T$20,7,0),VLOOKUP($F27,$M$12:$T$20,8,0))),"ok","verificar"))</f>
        <v/>
      </c>
      <c r="L27" s="12"/>
    </row>
    <row r="28" spans="1:20" ht="15" x14ac:dyDescent="0.2">
      <c r="A28" s="3"/>
      <c r="B28" s="20"/>
      <c r="C28" s="20"/>
      <c r="D28" s="20"/>
      <c r="E28" s="20"/>
      <c r="F28" s="20"/>
      <c r="G28" s="20"/>
      <c r="H28" s="20"/>
      <c r="I28" s="20"/>
      <c r="J28" s="20"/>
      <c r="K28" s="12"/>
      <c r="L28" s="12"/>
    </row>
    <row r="29" spans="1:20" x14ac:dyDescent="0.2">
      <c r="A29" s="3"/>
      <c r="B29" s="3"/>
      <c r="C29" s="3"/>
      <c r="D29" s="3"/>
      <c r="E29" s="3"/>
      <c r="F29" s="3"/>
      <c r="G29" s="15"/>
      <c r="H29" s="15"/>
      <c r="I29" s="15"/>
      <c r="J29" s="15"/>
      <c r="K29" s="3"/>
    </row>
    <row r="30" spans="1:20" ht="68.25" customHeight="1" x14ac:dyDescent="0.2">
      <c r="A30" s="3"/>
      <c r="B30" s="60" t="s">
        <v>43</v>
      </c>
      <c r="C30" s="60"/>
      <c r="D30" s="60"/>
      <c r="E30" s="60"/>
      <c r="F30" s="60"/>
      <c r="G30" s="60"/>
      <c r="H30" s="60"/>
      <c r="I30" s="60"/>
      <c r="J30" s="60"/>
      <c r="K30" s="3"/>
    </row>
    <row r="31" spans="1:20" ht="15" x14ac:dyDescent="0.2">
      <c r="A31" s="3"/>
      <c r="G31" s="16"/>
      <c r="H31" s="3"/>
      <c r="I31" s="3"/>
      <c r="J31" s="3"/>
      <c r="K31" s="3"/>
    </row>
    <row r="32" spans="1:20" ht="15" x14ac:dyDescent="0.2">
      <c r="G32" s="16"/>
      <c r="H32" s="51"/>
    </row>
    <row r="33" spans="7:7" ht="15" x14ac:dyDescent="0.2">
      <c r="G33" s="16"/>
    </row>
  </sheetData>
  <mergeCells count="1">
    <mergeCell ref="B30:J30"/>
  </mergeCells>
  <conditionalFormatting sqref="K12:K27">
    <cfRule type="cellIs" dxfId="0" priority="1" operator="equal">
      <formula>"Verificar"</formula>
    </cfRule>
  </conditionalFormatting>
  <dataValidations count="1">
    <dataValidation type="list" allowBlank="1" showInputMessage="1" showErrorMessage="1" sqref="D12:D27" xr:uid="{1340D171-B0EB-4CB4-8A3D-30DF3CEDD275}">
      <formula1>$D$6:$D$8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5CEB-313D-4598-AA07-4D8F3292CC74}">
  <dimension ref="A1:AG37"/>
  <sheetViews>
    <sheetView showGridLines="0" zoomScale="85" zoomScaleNormal="85" workbookViewId="0">
      <pane xSplit="5" ySplit="12" topLeftCell="K20" activePane="bottomRight" state="frozen"/>
      <selection pane="topRight" activeCell="F1" sqref="F1"/>
      <selection pane="bottomLeft" activeCell="A13" sqref="A13"/>
      <selection pane="bottomRight" activeCell="N25" sqref="N25"/>
    </sheetView>
  </sheetViews>
  <sheetFormatPr defaultColWidth="8.85546875" defaultRowHeight="12.75" x14ac:dyDescent="0.2"/>
  <cols>
    <col min="1" max="1" width="3.85546875" style="1" customWidth="1"/>
    <col min="2" max="3" width="13.85546875" style="1" customWidth="1"/>
    <col min="4" max="4" width="20" style="1" customWidth="1"/>
    <col min="5" max="5" width="23.5703125" style="1" bestFit="1" customWidth="1"/>
    <col min="6" max="6" width="20.140625" style="1" bestFit="1" customWidth="1"/>
    <col min="7" max="31" width="18.42578125" style="1" customWidth="1"/>
    <col min="32" max="16384" width="8.85546875" style="1"/>
  </cols>
  <sheetData>
    <row r="1" spans="1:33" ht="23.25" x14ac:dyDescent="0.35">
      <c r="B1" s="2" t="s">
        <v>14</v>
      </c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3" ht="15.75" x14ac:dyDescent="0.2">
      <c r="A3" s="3"/>
      <c r="B3" s="5" t="s">
        <v>6</v>
      </c>
      <c r="C3" s="5"/>
      <c r="D3" s="5" t="s">
        <v>30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3" ht="15.75" x14ac:dyDescent="0.2">
      <c r="A4" s="3"/>
      <c r="B4" s="5" t="s">
        <v>0</v>
      </c>
      <c r="C4" s="5"/>
      <c r="D4" s="5" t="s">
        <v>33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3" ht="15.75" x14ac:dyDescent="0.2">
      <c r="A5" s="3"/>
      <c r="B5" s="5" t="s">
        <v>1</v>
      </c>
      <c r="C5" s="5"/>
      <c r="D5" s="38" t="s">
        <v>6</v>
      </c>
      <c r="E5" s="38" t="s">
        <v>54</v>
      </c>
      <c r="F5" s="38" t="s">
        <v>52</v>
      </c>
      <c r="G5" s="38" t="s">
        <v>53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3" ht="15.75" x14ac:dyDescent="0.2">
      <c r="A6" s="3"/>
      <c r="B6" s="5"/>
      <c r="C6" s="5"/>
      <c r="D6" s="28" t="s">
        <v>31</v>
      </c>
      <c r="E6" s="28">
        <v>52628710.630000003</v>
      </c>
      <c r="F6" s="28">
        <v>37567535.850000001</v>
      </c>
      <c r="G6" s="28">
        <v>15061174.779999999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33" ht="15.75" x14ac:dyDescent="0.2">
      <c r="A7" s="3"/>
      <c r="B7" s="5"/>
      <c r="C7" s="5"/>
      <c r="D7" s="28" t="s">
        <v>32</v>
      </c>
      <c r="E7" s="28">
        <v>82211193.420000002</v>
      </c>
      <c r="F7" s="28">
        <v>42965741.100000001</v>
      </c>
      <c r="G7" s="28">
        <v>39245452.32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 t="s">
        <v>159</v>
      </c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3" ht="15.75" x14ac:dyDescent="0.2">
      <c r="A8" s="3"/>
      <c r="B8" s="5"/>
      <c r="C8" s="5"/>
      <c r="D8" s="28" t="s">
        <v>29</v>
      </c>
      <c r="E8" s="28">
        <v>57105364.030000001</v>
      </c>
      <c r="F8" s="28">
        <v>43935357.490000002</v>
      </c>
      <c r="G8" s="28">
        <v>13170006.539999999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 t="s">
        <v>158</v>
      </c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3" ht="15.75" x14ac:dyDescent="0.2">
      <c r="A9" s="3"/>
      <c r="B9" s="5"/>
      <c r="C9" s="5"/>
      <c r="D9" s="25" t="s">
        <v>2</v>
      </c>
      <c r="E9" s="25">
        <f>SUM(E6:E8)</f>
        <v>191945268.08000001</v>
      </c>
      <c r="F9" s="25">
        <f t="shared" ref="F9:G9" si="0">SUM(F6:F8)</f>
        <v>124468634.44</v>
      </c>
      <c r="G9" s="25">
        <f t="shared" si="0"/>
        <v>67476633.640000001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 t="s">
        <v>152</v>
      </c>
      <c r="Y9" s="39" t="s">
        <v>152</v>
      </c>
      <c r="Z9" s="39" t="s">
        <v>152</v>
      </c>
      <c r="AA9" s="39" t="s">
        <v>152</v>
      </c>
      <c r="AB9" s="39"/>
      <c r="AC9" s="39" t="s">
        <v>152</v>
      </c>
      <c r="AD9" s="39"/>
      <c r="AE9" s="39"/>
    </row>
    <row r="10" spans="1:33" ht="15.75" x14ac:dyDescent="0.2">
      <c r="A10" s="3"/>
      <c r="B10" s="5"/>
      <c r="C10" s="5"/>
      <c r="D10" s="25"/>
      <c r="E10" s="5"/>
      <c r="F10" s="5">
        <f t="shared" ref="F10:X10" si="1">COUNTIF($F$11:$AE$11,F11)</f>
        <v>1</v>
      </c>
      <c r="G10" s="5">
        <f t="shared" si="1"/>
        <v>1</v>
      </c>
      <c r="H10" s="5">
        <f t="shared" si="1"/>
        <v>1</v>
      </c>
      <c r="I10" s="5">
        <f t="shared" si="1"/>
        <v>1</v>
      </c>
      <c r="J10" s="5">
        <f t="shared" si="1"/>
        <v>1</v>
      </c>
      <c r="K10" s="5">
        <f t="shared" si="1"/>
        <v>1</v>
      </c>
      <c r="L10" s="5">
        <f t="shared" si="1"/>
        <v>1</v>
      </c>
      <c r="M10" s="5">
        <f t="shared" si="1"/>
        <v>1</v>
      </c>
      <c r="N10" s="5">
        <f t="shared" si="1"/>
        <v>1</v>
      </c>
      <c r="O10" s="5">
        <f t="shared" si="1"/>
        <v>1</v>
      </c>
      <c r="P10" s="5">
        <f t="shared" si="1"/>
        <v>1</v>
      </c>
      <c r="Q10" s="5">
        <f t="shared" si="1"/>
        <v>1</v>
      </c>
      <c r="R10" s="5">
        <f t="shared" si="1"/>
        <v>1</v>
      </c>
      <c r="S10" s="5">
        <f t="shared" si="1"/>
        <v>1</v>
      </c>
      <c r="T10" s="5">
        <f t="shared" si="1"/>
        <v>1</v>
      </c>
      <c r="U10" s="5">
        <f t="shared" si="1"/>
        <v>1</v>
      </c>
      <c r="V10" s="5">
        <f t="shared" si="1"/>
        <v>1</v>
      </c>
      <c r="W10" s="5">
        <f t="shared" si="1"/>
        <v>1</v>
      </c>
      <c r="X10" s="5">
        <f t="shared" si="1"/>
        <v>1</v>
      </c>
      <c r="Y10" s="5">
        <f t="shared" ref="Y10:AE10" si="2">COUNTIF($F$11:$AE$11,Y11)</f>
        <v>1</v>
      </c>
      <c r="Z10" s="5">
        <f t="shared" si="2"/>
        <v>1</v>
      </c>
      <c r="AA10" s="5">
        <f t="shared" si="2"/>
        <v>1</v>
      </c>
      <c r="AB10" s="5">
        <f t="shared" si="2"/>
        <v>1</v>
      </c>
      <c r="AC10" s="5">
        <f t="shared" si="2"/>
        <v>1</v>
      </c>
      <c r="AD10" s="5">
        <f t="shared" si="2"/>
        <v>1</v>
      </c>
      <c r="AE10" s="5">
        <f t="shared" si="2"/>
        <v>1</v>
      </c>
      <c r="AF10" s="5"/>
      <c r="AG10" s="5"/>
    </row>
    <row r="11" spans="1:33" ht="30" customHeight="1" x14ac:dyDescent="0.2">
      <c r="A11" s="7"/>
      <c r="B11" s="58" t="s">
        <v>35</v>
      </c>
      <c r="C11" s="58" t="s">
        <v>16</v>
      </c>
      <c r="D11" s="58" t="s">
        <v>36</v>
      </c>
      <c r="E11" s="58" t="s">
        <v>39</v>
      </c>
      <c r="F11" s="8" t="s">
        <v>66</v>
      </c>
      <c r="G11" s="8" t="s">
        <v>67</v>
      </c>
      <c r="H11" s="8" t="s">
        <v>74</v>
      </c>
      <c r="I11" s="8" t="s">
        <v>75</v>
      </c>
      <c r="J11" s="8" t="s">
        <v>76</v>
      </c>
      <c r="K11" s="8" t="s">
        <v>65</v>
      </c>
      <c r="L11" s="8" t="s">
        <v>68</v>
      </c>
      <c r="M11" s="8" t="s">
        <v>64</v>
      </c>
      <c r="N11" s="8" t="s">
        <v>77</v>
      </c>
      <c r="O11" s="8" t="s">
        <v>89</v>
      </c>
      <c r="P11" s="8" t="s">
        <v>90</v>
      </c>
      <c r="Q11" s="8" t="s">
        <v>127</v>
      </c>
      <c r="R11" s="8" t="s">
        <v>128</v>
      </c>
      <c r="S11" s="8" t="s">
        <v>129</v>
      </c>
      <c r="T11" s="8" t="s">
        <v>133</v>
      </c>
      <c r="U11" s="8" t="s">
        <v>132</v>
      </c>
      <c r="V11" s="8" t="s">
        <v>85</v>
      </c>
      <c r="W11" s="8" t="s">
        <v>145</v>
      </c>
      <c r="X11" s="8" t="s">
        <v>146</v>
      </c>
      <c r="Y11" s="8" t="s">
        <v>148</v>
      </c>
      <c r="Z11" s="8" t="s">
        <v>150</v>
      </c>
      <c r="AA11" s="8" t="s">
        <v>153</v>
      </c>
      <c r="AB11" s="8" t="s">
        <v>62</v>
      </c>
      <c r="AC11" s="8" t="s">
        <v>156</v>
      </c>
      <c r="AD11" s="8" t="s">
        <v>160</v>
      </c>
      <c r="AE11" s="8" t="s">
        <v>3</v>
      </c>
    </row>
    <row r="12" spans="1:33" ht="15" x14ac:dyDescent="0.2">
      <c r="A12" s="7"/>
      <c r="B12" s="59"/>
      <c r="C12" s="59"/>
      <c r="D12" s="59"/>
      <c r="E12" s="59"/>
      <c r="F12" s="8" t="s">
        <v>105</v>
      </c>
      <c r="G12" s="8" t="s">
        <v>102</v>
      </c>
      <c r="H12" s="8" t="s">
        <v>100</v>
      </c>
      <c r="I12" s="8" t="s">
        <v>101</v>
      </c>
      <c r="J12" s="8" t="s">
        <v>106</v>
      </c>
      <c r="K12" s="8" t="s">
        <v>103</v>
      </c>
      <c r="L12" s="8" t="s">
        <v>104</v>
      </c>
      <c r="M12" s="8" t="s">
        <v>118</v>
      </c>
      <c r="N12" s="8" t="s">
        <v>119</v>
      </c>
      <c r="O12" s="8" t="s">
        <v>120</v>
      </c>
      <c r="P12" s="8" t="s">
        <v>121</v>
      </c>
      <c r="Q12" s="8" t="s">
        <v>131</v>
      </c>
      <c r="R12" s="8" t="s">
        <v>135</v>
      </c>
      <c r="S12" s="8" t="s">
        <v>136</v>
      </c>
      <c r="T12" s="8" t="s">
        <v>130</v>
      </c>
      <c r="U12" s="8" t="s">
        <v>134</v>
      </c>
      <c r="V12" s="8" t="s">
        <v>94</v>
      </c>
      <c r="W12" s="8" t="s">
        <v>144</v>
      </c>
      <c r="X12" s="8" t="s">
        <v>147</v>
      </c>
      <c r="Y12" s="8" t="s">
        <v>149</v>
      </c>
      <c r="Z12" s="8" t="s">
        <v>151</v>
      </c>
      <c r="AA12" s="8" t="s">
        <v>154</v>
      </c>
      <c r="AB12" s="8" t="s">
        <v>116</v>
      </c>
      <c r="AC12" s="8" t="s">
        <v>157</v>
      </c>
      <c r="AD12" s="8" t="s">
        <v>161</v>
      </c>
      <c r="AE12" s="8" t="s">
        <v>92</v>
      </c>
    </row>
    <row r="13" spans="1:33" ht="15" x14ac:dyDescent="0.2">
      <c r="A13" s="3"/>
      <c r="B13" s="26">
        <v>44657</v>
      </c>
      <c r="C13" s="26">
        <v>44665</v>
      </c>
      <c r="D13" s="27" t="s">
        <v>29</v>
      </c>
      <c r="E13" s="27">
        <f t="shared" ref="E13:E23" si="3">SUM(F13:AE13)</f>
        <v>5625056.6500000004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/>
      <c r="AD13" s="27"/>
      <c r="AE13" s="27">
        <v>5625056.6500000004</v>
      </c>
    </row>
    <row r="14" spans="1:33" ht="15" x14ac:dyDescent="0.2">
      <c r="A14" s="3"/>
      <c r="B14" s="26">
        <v>44691</v>
      </c>
      <c r="C14" s="26">
        <v>44694</v>
      </c>
      <c r="D14" s="27" t="s">
        <v>32</v>
      </c>
      <c r="E14" s="27">
        <f t="shared" si="3"/>
        <v>6343623.5</v>
      </c>
      <c r="F14" s="27">
        <v>271219.76</v>
      </c>
      <c r="G14" s="27">
        <v>1079649.03</v>
      </c>
      <c r="H14" s="27">
        <v>2523873.2000000002</v>
      </c>
      <c r="I14" s="27">
        <v>1339970.1299999999</v>
      </c>
      <c r="J14" s="27">
        <v>574592.69999999995</v>
      </c>
      <c r="K14" s="27">
        <v>47384.1</v>
      </c>
      <c r="L14" s="27">
        <v>96934.58</v>
      </c>
      <c r="M14" s="27">
        <v>410000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/>
      <c r="AD14" s="27"/>
      <c r="AE14" s="27">
        <v>0</v>
      </c>
    </row>
    <row r="15" spans="1:33" ht="15" x14ac:dyDescent="0.2">
      <c r="A15" s="3"/>
      <c r="B15" s="26">
        <v>44691</v>
      </c>
      <c r="C15" s="26">
        <v>44701</v>
      </c>
      <c r="D15" s="27" t="s">
        <v>32</v>
      </c>
      <c r="E15" s="27">
        <f t="shared" si="3"/>
        <v>351276.22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/>
      <c r="AD15" s="27"/>
      <c r="AE15" s="27">
        <v>351276.22</v>
      </c>
    </row>
    <row r="16" spans="1:33" ht="15" x14ac:dyDescent="0.2">
      <c r="A16" s="3"/>
      <c r="B16" s="26">
        <v>44691</v>
      </c>
      <c r="C16" s="26">
        <v>44712</v>
      </c>
      <c r="D16" s="27" t="s">
        <v>32</v>
      </c>
      <c r="E16" s="27">
        <f t="shared" si="3"/>
        <v>975623.76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975623.76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/>
      <c r="AD16" s="27"/>
      <c r="AE16" s="27">
        <v>0</v>
      </c>
    </row>
    <row r="17" spans="1:31" ht="15" x14ac:dyDescent="0.2">
      <c r="A17" s="3"/>
      <c r="B17" s="26">
        <v>44701</v>
      </c>
      <c r="C17" s="26">
        <v>44712</v>
      </c>
      <c r="D17" s="27" t="s">
        <v>31</v>
      </c>
      <c r="E17" s="27">
        <f t="shared" si="3"/>
        <v>5223874.4399999995</v>
      </c>
      <c r="F17" s="27">
        <v>125935.73</v>
      </c>
      <c r="G17" s="27">
        <v>889420.17</v>
      </c>
      <c r="H17" s="27">
        <v>1828561.74</v>
      </c>
      <c r="I17" s="27">
        <v>1586758.19</v>
      </c>
      <c r="J17" s="27">
        <v>328241.55</v>
      </c>
      <c r="K17" s="27">
        <v>47148.3</v>
      </c>
      <c r="L17" s="27">
        <v>48467.29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/>
      <c r="AD17" s="27"/>
      <c r="AE17" s="27">
        <f>137024.51+174391.98+57924.98</f>
        <v>369341.47</v>
      </c>
    </row>
    <row r="18" spans="1:31" ht="15" x14ac:dyDescent="0.2">
      <c r="A18" s="3"/>
      <c r="B18" s="26">
        <v>44796</v>
      </c>
      <c r="C18" s="26">
        <v>44804</v>
      </c>
      <c r="D18" s="27" t="s">
        <v>29</v>
      </c>
      <c r="E18" s="27">
        <f t="shared" si="3"/>
        <v>6742260.8700000001</v>
      </c>
      <c r="F18" s="27">
        <v>188903.58</v>
      </c>
      <c r="G18" s="27">
        <v>2525275.7400000002</v>
      </c>
      <c r="H18" s="27">
        <v>0</v>
      </c>
      <c r="I18" s="27">
        <v>1638217.5</v>
      </c>
      <c r="J18" s="27">
        <v>607627.06999999995</v>
      </c>
      <c r="K18" s="27">
        <v>0</v>
      </c>
      <c r="L18" s="27">
        <v>96934.58</v>
      </c>
      <c r="M18" s="27">
        <v>285862.5</v>
      </c>
      <c r="N18" s="27">
        <v>517482.26</v>
      </c>
      <c r="O18" s="27">
        <v>354335.55</v>
      </c>
      <c r="P18" s="27">
        <v>84403.26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/>
      <c r="AD18" s="27"/>
      <c r="AE18" s="27">
        <v>443218.83</v>
      </c>
    </row>
    <row r="19" spans="1:31" ht="15" x14ac:dyDescent="0.2">
      <c r="A19" s="3"/>
      <c r="B19" s="26">
        <v>44796</v>
      </c>
      <c r="C19" s="26">
        <v>44804</v>
      </c>
      <c r="D19" s="27" t="s">
        <v>32</v>
      </c>
      <c r="E19" s="27">
        <f t="shared" si="3"/>
        <v>7061734.5300000003</v>
      </c>
      <c r="F19" s="27">
        <v>271219.76</v>
      </c>
      <c r="G19" s="27">
        <v>1044171.83</v>
      </c>
      <c r="H19" s="27">
        <v>795083.53</v>
      </c>
      <c r="I19" s="27">
        <v>2630297.79</v>
      </c>
      <c r="J19" s="27">
        <v>217102.97</v>
      </c>
      <c r="K19" s="27">
        <v>0</v>
      </c>
      <c r="L19" s="27">
        <v>0</v>
      </c>
      <c r="M19" s="27">
        <v>820000</v>
      </c>
      <c r="N19" s="27">
        <v>487811.88</v>
      </c>
      <c r="O19" s="27">
        <v>437111.4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/>
      <c r="AD19" s="27"/>
      <c r="AE19" s="27">
        <v>358935.37</v>
      </c>
    </row>
    <row r="20" spans="1:31" ht="15" x14ac:dyDescent="0.2">
      <c r="A20" s="3"/>
      <c r="B20" s="26">
        <v>44797</v>
      </c>
      <c r="C20" s="26">
        <v>44804</v>
      </c>
      <c r="D20" s="27" t="s">
        <v>31</v>
      </c>
      <c r="E20" s="27">
        <f t="shared" si="3"/>
        <v>6315547.5700000003</v>
      </c>
      <c r="F20" s="27">
        <v>377806.99</v>
      </c>
      <c r="G20" s="27">
        <v>560876.77</v>
      </c>
      <c r="H20" s="27">
        <v>574155.76</v>
      </c>
      <c r="I20" s="27">
        <v>2189783.61</v>
      </c>
      <c r="J20" s="27">
        <v>410244.27</v>
      </c>
      <c r="K20" s="27">
        <v>0</v>
      </c>
      <c r="L20" s="27">
        <v>48467.29</v>
      </c>
      <c r="M20" s="27">
        <v>857587.5</v>
      </c>
      <c r="N20" s="27">
        <v>480053.73</v>
      </c>
      <c r="O20" s="27">
        <v>400360.74</v>
      </c>
      <c r="P20" s="27">
        <v>84403.26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/>
      <c r="AD20" s="27"/>
      <c r="AE20" s="27">
        <v>331807.65000000002</v>
      </c>
    </row>
    <row r="21" spans="1:31" ht="15" x14ac:dyDescent="0.2">
      <c r="A21" s="3"/>
      <c r="B21" s="26">
        <v>44859</v>
      </c>
      <c r="C21" s="26">
        <v>44865</v>
      </c>
      <c r="D21" s="27" t="s">
        <v>29</v>
      </c>
      <c r="E21" s="27">
        <f t="shared" si="3"/>
        <v>6365782.8400000008</v>
      </c>
      <c r="F21" s="27">
        <v>62967.71</v>
      </c>
      <c r="G21" s="27">
        <v>767387.74</v>
      </c>
      <c r="H21" s="27">
        <v>2394135.7599999998</v>
      </c>
      <c r="I21" s="27">
        <v>2365775.46</v>
      </c>
      <c r="J21" s="27">
        <v>196617.9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269574.37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/>
      <c r="AD21" s="27"/>
      <c r="AE21" s="27">
        <v>309323.90000000002</v>
      </c>
    </row>
    <row r="22" spans="1:31" ht="15" x14ac:dyDescent="0.2">
      <c r="A22" s="3"/>
      <c r="B22" s="26">
        <v>44859</v>
      </c>
      <c r="C22" s="26">
        <v>44865</v>
      </c>
      <c r="D22" s="27" t="s">
        <v>31</v>
      </c>
      <c r="E22" s="27">
        <f t="shared" si="3"/>
        <v>3600831.0500000003</v>
      </c>
      <c r="F22" s="27">
        <v>125935.66</v>
      </c>
      <c r="G22" s="27">
        <v>763507.16</v>
      </c>
      <c r="H22" s="27">
        <v>0</v>
      </c>
      <c r="I22" s="27">
        <v>2111184.85</v>
      </c>
      <c r="J22" s="27">
        <v>179219.53</v>
      </c>
      <c r="K22" s="27">
        <v>110012.7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61047.37</v>
      </c>
      <c r="U22" s="27">
        <v>9869.85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/>
      <c r="AD22" s="27"/>
      <c r="AE22" s="27">
        <f>80147.16+141093.67+18813.1</f>
        <v>240053.93000000002</v>
      </c>
    </row>
    <row r="23" spans="1:31" ht="15" x14ac:dyDescent="0.2">
      <c r="A23" s="3"/>
      <c r="B23" s="26">
        <v>44859</v>
      </c>
      <c r="C23" s="26">
        <v>44895</v>
      </c>
      <c r="D23" s="27" t="s">
        <v>31</v>
      </c>
      <c r="E23" s="27">
        <f t="shared" si="3"/>
        <v>229394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112194</v>
      </c>
      <c r="R23" s="27">
        <v>117200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/>
      <c r="AD23" s="27"/>
      <c r="AE23" s="27">
        <v>0</v>
      </c>
    </row>
    <row r="24" spans="1:31" ht="15" x14ac:dyDescent="0.2">
      <c r="A24" s="3"/>
      <c r="B24" s="26">
        <v>44859</v>
      </c>
      <c r="C24" s="26">
        <v>44895</v>
      </c>
      <c r="D24" s="27" t="s">
        <v>29</v>
      </c>
      <c r="E24" s="27">
        <f t="shared" ref="E24:E29" si="4">SUM(F24:AE24)</f>
        <v>273253.59999999998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156053.6</v>
      </c>
      <c r="R24" s="27">
        <v>117200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/>
      <c r="AD24" s="27"/>
      <c r="AE24" s="27">
        <v>0</v>
      </c>
    </row>
    <row r="25" spans="1:31" ht="15" x14ac:dyDescent="0.2">
      <c r="A25" s="3"/>
      <c r="B25" s="26">
        <v>44859</v>
      </c>
      <c r="C25" s="26">
        <v>44909</v>
      </c>
      <c r="D25" s="27" t="s">
        <v>31</v>
      </c>
      <c r="E25" s="27">
        <f t="shared" si="4"/>
        <v>405770.43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405770.43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</row>
    <row r="26" spans="1:31" ht="15" x14ac:dyDescent="0.2">
      <c r="A26" s="3"/>
      <c r="B26" s="26">
        <v>44859</v>
      </c>
      <c r="C26" s="26">
        <v>44909</v>
      </c>
      <c r="D26" s="27" t="s">
        <v>29</v>
      </c>
      <c r="E26" s="27">
        <f t="shared" si="4"/>
        <v>204330.5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204330.5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</row>
    <row r="27" spans="1:31" ht="15" x14ac:dyDescent="0.2">
      <c r="A27" s="3"/>
      <c r="B27" s="26">
        <v>44895</v>
      </c>
      <c r="C27" s="26">
        <v>44909</v>
      </c>
      <c r="D27" s="27" t="s">
        <v>32</v>
      </c>
      <c r="E27" s="27">
        <f t="shared" si="4"/>
        <v>12396834.33</v>
      </c>
      <c r="F27" s="27">
        <v>135609.88</v>
      </c>
      <c r="G27" s="27">
        <v>1456247.43</v>
      </c>
      <c r="H27" s="27">
        <v>0</v>
      </c>
      <c r="I27" s="27">
        <v>2431963.33</v>
      </c>
      <c r="J27" s="27">
        <v>235454.25</v>
      </c>
      <c r="K27" s="27">
        <v>110562.9</v>
      </c>
      <c r="L27" s="27">
        <v>0</v>
      </c>
      <c r="M27" s="27">
        <v>0</v>
      </c>
      <c r="N27" s="27">
        <v>0</v>
      </c>
      <c r="O27" s="27">
        <v>0</v>
      </c>
      <c r="P27" s="27">
        <v>84403.26</v>
      </c>
      <c r="Q27" s="27">
        <v>447534</v>
      </c>
      <c r="R27" s="27">
        <v>117200</v>
      </c>
      <c r="S27" s="27">
        <v>6322552.5499999998</v>
      </c>
      <c r="T27" s="27">
        <v>269574.37</v>
      </c>
      <c r="U27" s="27">
        <v>13817.82</v>
      </c>
      <c r="V27" s="27">
        <v>16254</v>
      </c>
      <c r="W27" s="27">
        <v>9446.4</v>
      </c>
      <c r="X27" s="27">
        <v>12467.3</v>
      </c>
      <c r="Y27" s="27">
        <v>51418.04</v>
      </c>
      <c r="Z27" s="27">
        <v>16400</v>
      </c>
      <c r="AA27" s="27">
        <v>25583.82</v>
      </c>
      <c r="AB27" s="27">
        <v>247630.36</v>
      </c>
      <c r="AC27" s="27">
        <v>0</v>
      </c>
      <c r="AD27" s="27">
        <v>0</v>
      </c>
      <c r="AE27" s="27">
        <v>392714.62</v>
      </c>
    </row>
    <row r="28" spans="1:31" ht="15" x14ac:dyDescent="0.2">
      <c r="A28" s="3"/>
      <c r="B28" s="26">
        <v>44903</v>
      </c>
      <c r="C28" s="26">
        <v>44909</v>
      </c>
      <c r="D28" s="27" t="s">
        <v>31</v>
      </c>
      <c r="E28" s="27">
        <f t="shared" si="4"/>
        <v>6874205.1499999994</v>
      </c>
      <c r="F28" s="27">
        <v>0</v>
      </c>
      <c r="G28" s="27">
        <v>1076268.06</v>
      </c>
      <c r="H28" s="27">
        <v>0</v>
      </c>
      <c r="I28" s="27">
        <v>1745649.63</v>
      </c>
      <c r="J28" s="27">
        <v>310507.26</v>
      </c>
      <c r="K28" s="27">
        <v>157161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2239465.88</v>
      </c>
      <c r="T28" s="27">
        <v>208527</v>
      </c>
      <c r="U28" s="27">
        <v>700128.67</v>
      </c>
      <c r="V28" s="27">
        <v>16254</v>
      </c>
      <c r="W28" s="27">
        <v>16806.72</v>
      </c>
      <c r="X28" s="27">
        <v>0</v>
      </c>
      <c r="Y28" s="27">
        <v>0</v>
      </c>
      <c r="Z28" s="27">
        <v>0</v>
      </c>
      <c r="AA28" s="27">
        <v>0</v>
      </c>
      <c r="AB28" s="27">
        <v>53551.67</v>
      </c>
      <c r="AC28" s="27">
        <v>0</v>
      </c>
      <c r="AD28" s="27">
        <v>84981</v>
      </c>
      <c r="AE28" s="27">
        <v>264904.26</v>
      </c>
    </row>
    <row r="29" spans="1:31" ht="15" x14ac:dyDescent="0.2">
      <c r="A29" s="3"/>
      <c r="B29" s="26">
        <v>44903</v>
      </c>
      <c r="C29" s="26">
        <v>44909</v>
      </c>
      <c r="D29" s="27" t="s">
        <v>29</v>
      </c>
      <c r="E29" s="27">
        <f t="shared" si="4"/>
        <v>6774508.4700000007</v>
      </c>
      <c r="F29" s="27">
        <v>0</v>
      </c>
      <c r="G29" s="27">
        <v>1107277.95</v>
      </c>
      <c r="H29" s="27">
        <v>0</v>
      </c>
      <c r="I29" s="27">
        <v>1881421.12</v>
      </c>
      <c r="J29" s="27">
        <v>290814.93</v>
      </c>
      <c r="K29" s="27">
        <v>330643.20000000001</v>
      </c>
      <c r="L29" s="27">
        <v>72700.929999999993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1835282.23</v>
      </c>
      <c r="T29" s="27">
        <v>0</v>
      </c>
      <c r="U29" s="27">
        <v>728504.05</v>
      </c>
      <c r="V29" s="27">
        <v>8127</v>
      </c>
      <c r="W29" s="27">
        <v>8383.68</v>
      </c>
      <c r="X29" s="27">
        <v>0</v>
      </c>
      <c r="Y29" s="27">
        <v>0</v>
      </c>
      <c r="Z29" s="27">
        <v>0</v>
      </c>
      <c r="AA29" s="27">
        <v>0</v>
      </c>
      <c r="AB29" s="27">
        <v>73344.28</v>
      </c>
      <c r="AC29" s="27">
        <v>0</v>
      </c>
      <c r="AD29" s="27">
        <v>133354.79999999999</v>
      </c>
      <c r="AE29" s="27">
        <v>304654.3</v>
      </c>
    </row>
    <row r="30" spans="1:31" ht="15" x14ac:dyDescent="0.2">
      <c r="A30" s="3"/>
      <c r="B30" s="26">
        <v>44903</v>
      </c>
      <c r="C30" s="26">
        <v>44925</v>
      </c>
      <c r="D30" s="27" t="s">
        <v>31</v>
      </c>
      <c r="E30" s="27">
        <f t="shared" ref="E30" si="5">SUM(F30:AE30)</f>
        <v>123116.68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9661.8799999999992</v>
      </c>
      <c r="Y30" s="27">
        <v>50595.15</v>
      </c>
      <c r="Z30" s="27">
        <v>41000</v>
      </c>
      <c r="AA30" s="27">
        <v>0</v>
      </c>
      <c r="AB30" s="27">
        <v>0</v>
      </c>
      <c r="AC30" s="27">
        <v>21859.65</v>
      </c>
      <c r="AD30" s="27">
        <v>0</v>
      </c>
      <c r="AE30" s="27">
        <v>0</v>
      </c>
    </row>
    <row r="31" spans="1:31" ht="15" x14ac:dyDescent="0.2">
      <c r="A31" s="3"/>
      <c r="B31" s="26">
        <v>44903</v>
      </c>
      <c r="C31" s="26">
        <v>44925</v>
      </c>
      <c r="D31" s="27" t="s">
        <v>29</v>
      </c>
      <c r="E31" s="27">
        <f t="shared" ref="E31" si="6">SUM(F31:AE31)</f>
        <v>75860.92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7749.06</v>
      </c>
      <c r="Y31" s="27">
        <v>35337.660000000003</v>
      </c>
      <c r="Z31" s="27">
        <v>20500</v>
      </c>
      <c r="AA31" s="27">
        <v>0</v>
      </c>
      <c r="AB31" s="27">
        <v>0</v>
      </c>
      <c r="AC31" s="27">
        <v>12274.2</v>
      </c>
      <c r="AD31" s="27">
        <v>0</v>
      </c>
      <c r="AE31" s="27">
        <v>0</v>
      </c>
    </row>
    <row r="32" spans="1:31" ht="15" x14ac:dyDescent="0.2">
      <c r="A32" s="3"/>
      <c r="B32" s="26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ht="15" x14ac:dyDescent="0.2">
      <c r="A33" s="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 x14ac:dyDescent="0.2">
      <c r="A34" s="3"/>
      <c r="B34" s="3"/>
      <c r="C34" s="3"/>
      <c r="D34" s="3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57" customHeight="1" x14ac:dyDescent="0.2">
      <c r="A35" s="3"/>
      <c r="B35" s="61" t="s">
        <v>43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spans="1:31" x14ac:dyDescent="0.2">
      <c r="A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">
      <c r="E37" s="51"/>
    </row>
  </sheetData>
  <autoFilter ref="B11:E16" xr:uid="{04F8475C-F52E-472F-AC6C-BF0D9FE415BC}"/>
  <mergeCells count="5">
    <mergeCell ref="B35:AE35"/>
    <mergeCell ref="B11:B12"/>
    <mergeCell ref="C11:C12"/>
    <mergeCell ref="D11:D12"/>
    <mergeCell ref="E11:E12"/>
  </mergeCells>
  <dataValidations count="1">
    <dataValidation type="list" allowBlank="1" showInputMessage="1" showErrorMessage="1" sqref="D13:D32" xr:uid="{70F67874-452B-4B60-BBF7-044A3BE130D5}">
      <formula1>$D$6:$D$8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REA_7385</vt:lpstr>
      <vt:lpstr>REA_7408</vt:lpstr>
      <vt:lpstr>REA_7409</vt:lpstr>
      <vt:lpstr>REA_10630</vt:lpstr>
      <vt:lpstr>REA_10630_Fornecedores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Sasai</dc:creator>
  <cp:lastModifiedBy>Regina Sasai</cp:lastModifiedBy>
  <dcterms:created xsi:type="dcterms:W3CDTF">2021-07-08T14:57:01Z</dcterms:created>
  <dcterms:modified xsi:type="dcterms:W3CDTF">2022-12-20T18:34:12Z</dcterms:modified>
</cp:coreProperties>
</file>