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/>
  <mc:AlternateContent xmlns:mc="http://schemas.openxmlformats.org/markup-compatibility/2006">
    <mc:Choice Requires="x15">
      <x15ac:absPath xmlns:x15ac="http://schemas.microsoft.com/office/spreadsheetml/2010/11/ac" url="Z:\GCSE\GERCS - CONTAS SETORIAIS\CONTA CCC\1 OPERAÇÕES\2022\06. Junho22\CTG\ENERGISA AC\Memória de Cálculo\Publicação\"/>
    </mc:Choice>
  </mc:AlternateContent>
  <xr:revisionPtr revIDLastSave="0" documentId="8_{78E12572-C0B3-4ED9-9FB3-47C6F8E9BD02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RESUMO" sheetId="1" r:id="rId1"/>
    <sheet name="CONTRATOS CCESI" sheetId="3" r:id="rId2"/>
    <sheet name="MIGDI" sheetId="4" r:id="rId3"/>
    <sheet name="SIGFI" sheetId="5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6" i="5" l="1"/>
  <c r="C6" i="5"/>
  <c r="E2" i="5"/>
  <c r="G4" i="5" s="1"/>
  <c r="D1" i="5"/>
  <c r="C5" i="5"/>
  <c r="H6" i="5" l="1"/>
  <c r="H5" i="5"/>
  <c r="J6" i="5" s="1"/>
  <c r="E5" i="5"/>
  <c r="E7" i="5" s="1"/>
  <c r="E6" i="5"/>
  <c r="I5" i="5" l="1"/>
  <c r="J5" i="5" s="1"/>
  <c r="J7" i="5"/>
  <c r="M26" i="3" l="1"/>
  <c r="M25" i="3"/>
  <c r="D2" i="4" l="1"/>
  <c r="G3" i="4" s="1"/>
  <c r="C1" i="4"/>
  <c r="D2" i="3" l="1"/>
  <c r="C1" i="3" l="1"/>
  <c r="N26" i="3" l="1"/>
  <c r="N12" i="3" l="1"/>
  <c r="O12" i="3" s="1"/>
  <c r="P12" i="3" s="1"/>
  <c r="R12" i="3" s="1"/>
  <c r="U12" i="3" s="1"/>
  <c r="J12" i="3"/>
  <c r="O26" i="3"/>
  <c r="Q26" i="3" s="1"/>
  <c r="T26" i="3" s="1"/>
  <c r="J13" i="3"/>
  <c r="N13" i="3"/>
  <c r="N25" i="3"/>
  <c r="O25" i="3" s="1"/>
  <c r="P25" i="3" s="1"/>
  <c r="R25" i="3" s="1"/>
  <c r="U25" i="3" s="1"/>
  <c r="Q25" i="3" l="1"/>
  <c r="T25" i="3" s="1"/>
  <c r="V25" i="3" s="1"/>
  <c r="P26" i="3"/>
  <c r="R26" i="3" s="1"/>
  <c r="U26" i="3" s="1"/>
  <c r="V26" i="3" s="1"/>
  <c r="O13" i="3"/>
  <c r="Q13" i="3" s="1"/>
  <c r="T13" i="3" s="1"/>
  <c r="Q12" i="3"/>
  <c r="T12" i="3" s="1"/>
  <c r="V12" i="3" s="1"/>
  <c r="E27" i="3"/>
  <c r="E14" i="3"/>
  <c r="P13" i="3" l="1"/>
  <c r="R13" i="3" s="1"/>
  <c r="U13" i="3" s="1"/>
  <c r="V13" i="3" s="1"/>
  <c r="D5" i="4" l="1"/>
  <c r="C13" i="1" l="1"/>
  <c r="C9" i="1"/>
  <c r="H4" i="4"/>
  <c r="I4" i="4" s="1"/>
  <c r="I5" i="4" s="1"/>
  <c r="C6" i="1" s="1"/>
  <c r="I13" i="3" l="1"/>
  <c r="M13" i="3" s="1"/>
  <c r="I8" i="3"/>
  <c r="I12" i="3"/>
  <c r="M12" i="3" s="1"/>
  <c r="M20" i="3"/>
  <c r="N20" i="3" s="1"/>
  <c r="M19" i="3"/>
  <c r="N19" i="3" s="1"/>
  <c r="M23" i="3"/>
  <c r="N23" i="3" s="1"/>
  <c r="O23" i="3" l="1"/>
  <c r="Q23" i="3" s="1"/>
  <c r="T23" i="3" s="1"/>
  <c r="J8" i="3"/>
  <c r="O19" i="3"/>
  <c r="Q19" i="3" s="1"/>
  <c r="T19" i="3" s="1"/>
  <c r="O20" i="3"/>
  <c r="Q20" i="3" s="1"/>
  <c r="T20" i="3" s="1"/>
  <c r="I5" i="3"/>
  <c r="J5" i="3" s="1"/>
  <c r="I9" i="3"/>
  <c r="I10" i="3"/>
  <c r="I7" i="3"/>
  <c r="I6" i="3"/>
  <c r="I11" i="3"/>
  <c r="M21" i="3"/>
  <c r="N21" i="3" s="1"/>
  <c r="M8" i="3"/>
  <c r="N8" i="3" s="1"/>
  <c r="M22" i="3"/>
  <c r="N22" i="3" s="1"/>
  <c r="M24" i="3"/>
  <c r="N24" i="3" s="1"/>
  <c r="M18" i="3"/>
  <c r="N18" i="3" s="1"/>
  <c r="P19" i="3" l="1"/>
  <c r="R19" i="3" s="1"/>
  <c r="U19" i="3" s="1"/>
  <c r="V19" i="3" s="1"/>
  <c r="P23" i="3"/>
  <c r="R23" i="3" s="1"/>
  <c r="U23" i="3" s="1"/>
  <c r="V23" i="3" s="1"/>
  <c r="P20" i="3"/>
  <c r="R20" i="3" s="1"/>
  <c r="U20" i="3" s="1"/>
  <c r="V20" i="3" s="1"/>
  <c r="O8" i="3"/>
  <c r="Q8" i="3" s="1"/>
  <c r="T8" i="3" s="1"/>
  <c r="M6" i="3"/>
  <c r="N6" i="3" s="1"/>
  <c r="J6" i="3"/>
  <c r="M7" i="3"/>
  <c r="N7" i="3" s="1"/>
  <c r="J7" i="3"/>
  <c r="O24" i="3"/>
  <c r="Q24" i="3" s="1"/>
  <c r="T24" i="3" s="1"/>
  <c r="M11" i="3"/>
  <c r="N11" i="3" s="1"/>
  <c r="J11" i="3"/>
  <c r="M9" i="3"/>
  <c r="N9" i="3" s="1"/>
  <c r="J9" i="3"/>
  <c r="M10" i="3"/>
  <c r="N10" i="3" s="1"/>
  <c r="J10" i="3"/>
  <c r="O18" i="3"/>
  <c r="Q18" i="3" s="1"/>
  <c r="T18" i="3" s="1"/>
  <c r="O22" i="3"/>
  <c r="Q22" i="3" s="1"/>
  <c r="T22" i="3" s="1"/>
  <c r="O21" i="3"/>
  <c r="Q21" i="3" s="1"/>
  <c r="T21" i="3" s="1"/>
  <c r="P21" i="3" l="1"/>
  <c r="R21" i="3" s="1"/>
  <c r="U21" i="3" s="1"/>
  <c r="V21" i="3" s="1"/>
  <c r="P18" i="3"/>
  <c r="R18" i="3" s="1"/>
  <c r="U18" i="3" s="1"/>
  <c r="V18" i="3" s="1"/>
  <c r="P24" i="3"/>
  <c r="R24" i="3" s="1"/>
  <c r="U24" i="3" s="1"/>
  <c r="V24" i="3" s="1"/>
  <c r="P22" i="3"/>
  <c r="R22" i="3" s="1"/>
  <c r="U22" i="3" s="1"/>
  <c r="V22" i="3" s="1"/>
  <c r="P8" i="3"/>
  <c r="R8" i="3" s="1"/>
  <c r="U8" i="3" s="1"/>
  <c r="V8" i="3" s="1"/>
  <c r="O9" i="3"/>
  <c r="Q9" i="3" s="1"/>
  <c r="T9" i="3" s="1"/>
  <c r="O6" i="3"/>
  <c r="Q6" i="3" s="1"/>
  <c r="T6" i="3" s="1"/>
  <c r="O10" i="3"/>
  <c r="Q10" i="3" s="1"/>
  <c r="T10" i="3" s="1"/>
  <c r="O11" i="3"/>
  <c r="Q11" i="3" s="1"/>
  <c r="T11" i="3" s="1"/>
  <c r="O7" i="3"/>
  <c r="Q7" i="3" s="1"/>
  <c r="T7" i="3" s="1"/>
  <c r="P10" i="3" l="1"/>
  <c r="R10" i="3" s="1"/>
  <c r="U10" i="3" s="1"/>
  <c r="V10" i="3" s="1"/>
  <c r="P9" i="3"/>
  <c r="R9" i="3" s="1"/>
  <c r="U9" i="3" s="1"/>
  <c r="V9" i="3" s="1"/>
  <c r="P7" i="3"/>
  <c r="R7" i="3" s="1"/>
  <c r="U7" i="3" s="1"/>
  <c r="V7" i="3" s="1"/>
  <c r="P11" i="3"/>
  <c r="R11" i="3" s="1"/>
  <c r="U11" i="3" s="1"/>
  <c r="V11" i="3" s="1"/>
  <c r="V27" i="3"/>
  <c r="P6" i="3"/>
  <c r="R6" i="3" s="1"/>
  <c r="U6" i="3" s="1"/>
  <c r="V6" i="3" s="1"/>
  <c r="M5" i="3" l="1"/>
  <c r="N5" i="3" s="1"/>
  <c r="O5" i="3" l="1"/>
  <c r="Q5" i="3" s="1"/>
  <c r="T5" i="3" s="1"/>
  <c r="P5" i="3" l="1"/>
  <c r="R5" i="3" s="1"/>
  <c r="U5" i="3" s="1"/>
  <c r="V5" i="3" s="1"/>
  <c r="V14" i="3" s="1"/>
  <c r="C7" i="1" s="1"/>
  <c r="C4" i="1" l="1"/>
  <c r="C14" i="1" l="1"/>
  <c r="C15" i="1" s="1"/>
  <c r="C17" i="1" l="1"/>
  <c r="C20" i="1" s="1"/>
</calcChain>
</file>

<file path=xl/sharedStrings.xml><?xml version="1.0" encoding="utf-8"?>
<sst xmlns="http://schemas.openxmlformats.org/spreadsheetml/2006/main" count="178" uniqueCount="81">
  <si>
    <t>Competência:</t>
  </si>
  <si>
    <t>REEMBOLSO MENSAL</t>
  </si>
  <si>
    <t>REEMBOLSO PRELIMINAR</t>
  </si>
  <si>
    <t>REEMBOLSO MENSAL EFETIVO</t>
  </si>
  <si>
    <t>R$</t>
  </si>
  <si>
    <t>Beneficiária</t>
  </si>
  <si>
    <t>CEG</t>
  </si>
  <si>
    <t>Usina</t>
  </si>
  <si>
    <t>Geração 
(MWh)</t>
  </si>
  <si>
    <t>% Não Recuperado de
PIS/COFINS</t>
  </si>
  <si>
    <t>BBF AC</t>
  </si>
  <si>
    <t>UTE.PE.AC.034414-1.01</t>
  </si>
  <si>
    <t>UTE Jordão</t>
  </si>
  <si>
    <t>UTE.PE.AC.034412-5.01</t>
  </si>
  <si>
    <t>UTE Marechal Thaumaturgo</t>
  </si>
  <si>
    <t>UTE.PE.AC.034413-3.01</t>
  </si>
  <si>
    <t>UTE Porto Walter</t>
  </si>
  <si>
    <t>UTE.PE.AC.034415-0.01</t>
  </si>
  <si>
    <t>UTE Santa Rosa do Purus</t>
  </si>
  <si>
    <t>GUASCOR</t>
  </si>
  <si>
    <t>UTE.PE.AC.034372-2.01</t>
  </si>
  <si>
    <t>CRUZEIRO DO SUL</t>
  </si>
  <si>
    <t>UTE.PE.AC.034374-9.01</t>
  </si>
  <si>
    <t>FEIJÓ</t>
  </si>
  <si>
    <t>UTE.PE.AC.034373-0.01</t>
  </si>
  <si>
    <t>TARAUACÁ</t>
  </si>
  <si>
    <t>TECNOGERA</t>
  </si>
  <si>
    <t>UTE.PE.AC.034375-7.01</t>
  </si>
  <si>
    <t>Assis Brasil - TECG</t>
  </si>
  <si>
    <t>UTE.PE.AC.034376-5.01</t>
  </si>
  <si>
    <t>Manoel Urbano - TECG</t>
  </si>
  <si>
    <t>1 - Combustível</t>
  </si>
  <si>
    <t>2 - Geração Própria</t>
  </si>
  <si>
    <t>3 - Contrato</t>
  </si>
  <si>
    <t>4 - Frete</t>
  </si>
  <si>
    <t>GERAÇÃO MENSAL TOTAL</t>
  </si>
  <si>
    <t>MWh</t>
  </si>
  <si>
    <t>COMPENSAÇÃO</t>
  </si>
  <si>
    <t>ACRméd</t>
  </si>
  <si>
    <t>R$/MWh</t>
  </si>
  <si>
    <t>FATOR DE CORTE</t>
  </si>
  <si>
    <t xml:space="preserve"> - </t>
  </si>
  <si>
    <t>Ajuste Competência Anterior</t>
  </si>
  <si>
    <t>CUSTO TOTAL DA GERAÇÃO</t>
  </si>
  <si>
    <t>Reembolso Mensal CCC - ENERGISA AC</t>
  </si>
  <si>
    <t>ENERGISA AC</t>
  </si>
  <si>
    <t>UFV.RS.AC.056592-0.01</t>
  </si>
  <si>
    <t>UFV Vila Restauração</t>
  </si>
  <si>
    <t>IPCA 01/2015</t>
  </si>
  <si>
    <t>Total Reembolso (R$)</t>
  </si>
  <si>
    <t>Custo de O&amp;M Atualizado (R$/MWh)</t>
  </si>
  <si>
    <t>Custo de O&amp;M - REN 801 (R$/MWh)</t>
  </si>
  <si>
    <t>Fornecedor</t>
  </si>
  <si>
    <t>Potência Contratada (kW)</t>
  </si>
  <si>
    <t>Valor de Receita Variável CCESI (R$)</t>
  </si>
  <si>
    <t>Valor de Receita Fixa Mensal CCESI (R$)</t>
  </si>
  <si>
    <t>Valor de Receita de Venda CCESI (R$)</t>
  </si>
  <si>
    <t>Valor Unitário Contrato (R$/MWh)</t>
  </si>
  <si>
    <t>Valor NF Bruto (R$)</t>
  </si>
  <si>
    <t>Valor Unitário NF (R$/MWh)</t>
  </si>
  <si>
    <t>Valor Considerado CCESI (R$)</t>
  </si>
  <si>
    <t>Valor Unitário Bruto Considerado (R$/MWh)</t>
  </si>
  <si>
    <t>Valor Unitário PIS/COFINS (R$/MWh)</t>
  </si>
  <si>
    <t>Valor Unitário Líquido  Considerado (R$/MWh)</t>
  </si>
  <si>
    <t>Valor Total PIS/COFINS (R$)</t>
  </si>
  <si>
    <t>Custo Líquido CCESI (R$)</t>
  </si>
  <si>
    <t>PIS / COFINS Reembolso (R$)</t>
  </si>
  <si>
    <t>Valor Líquido do Reembolso (R$)</t>
  </si>
  <si>
    <t>DESCONTO ACR MÉDIO</t>
  </si>
  <si>
    <t>DESCONTO FATOR DE CORTE</t>
  </si>
  <si>
    <t>REEMBOLSO MENSAL ANTERIOR</t>
  </si>
  <si>
    <t>SALDO DO REPROCESSAMENTO</t>
  </si>
  <si>
    <t>Modelo</t>
  </si>
  <si>
    <t>Potência por unidade (MW)</t>
  </si>
  <si>
    <t>N° de sistemas</t>
  </si>
  <si>
    <t>Potência (Disponib.) [MWh]/mês</t>
  </si>
  <si>
    <t>IPCA Base (01/2015)</t>
  </si>
  <si>
    <t>Custo O&amp;M Unitário [R$/MW.h]</t>
  </si>
  <si>
    <t>Custo Total O&amp;M [R$]</t>
  </si>
  <si>
    <t>SIGFI 45</t>
  </si>
  <si>
    <t>SIGFI 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</si>
</sst>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8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d/m/yy\ h:mm;@"/>
    <numFmt numFmtId="165" formatCode="mmmm/yyyy"/>
    <numFmt numFmtId="166" formatCode="_-* #,##0.000_-;\-* #,##0.000_-;_-* &quot;-&quot;??_-;_-@_-"/>
    <numFmt numFmtId="167" formatCode="#,##0.000"/>
    <numFmt numFmtId="168" formatCode="_-* #,##0_-;\-* #,##0_-;_-* &quot;-&quot;??_-;_-@_-"/>
    <numFmt numFmtId="169" formatCode="_-* #,##0.0_-;\-* #,##0.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i/>
      <sz val="22"/>
      <color rgb="FF002060"/>
      <name val="Calibri"/>
      <family val="2"/>
      <scheme val="minor"/>
    </font>
    <font>
      <b/>
      <i/>
      <sz val="12"/>
      <color rgb="FF00206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1"/>
      <color rgb="FF002060"/>
      <name val="Calibri"/>
      <family val="2"/>
      <scheme val="minor"/>
    </font>
    <font>
      <b/>
      <sz val="11"/>
      <color rgb="FF002060"/>
      <name val="Calibri"/>
      <family val="2"/>
      <scheme val="minor"/>
    </font>
    <font>
      <b/>
      <u val="double"/>
      <sz val="11"/>
      <color rgb="FF002060"/>
      <name val="Calibri"/>
      <family val="2"/>
      <scheme val="minor"/>
    </font>
    <font>
      <b/>
      <sz val="11"/>
      <name val="Calibri"/>
      <family val="2"/>
      <scheme val="minor"/>
    </font>
    <font>
      <u val="double"/>
      <sz val="11"/>
      <color rgb="FF00206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rgb="FFFFC000"/>
      </left>
      <right style="thin">
        <color rgb="FFFFC000"/>
      </right>
      <top style="thin">
        <color rgb="FFFFC000"/>
      </top>
      <bottom style="thin">
        <color rgb="FFFFC000"/>
      </bottom>
      <diagonal/>
    </border>
    <border>
      <left style="thin">
        <color rgb="FFFFCB05"/>
      </left>
      <right style="thin">
        <color rgb="FFFFCB05"/>
      </right>
      <top style="thin">
        <color rgb="FFFFCB05"/>
      </top>
      <bottom style="thin">
        <color rgb="FFFFCB05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rgb="FFFFC000"/>
      </top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0" fillId="0" borderId="0" xfId="0" applyBorder="1"/>
    <xf numFmtId="0" fontId="4" fillId="0" borderId="0" xfId="0" applyFont="1" applyBorder="1" applyAlignment="1">
      <alignment horizontal="right" vertical="top"/>
    </xf>
    <xf numFmtId="0" fontId="3" fillId="0" borderId="0" xfId="0" applyFont="1" applyAlignment="1">
      <alignment vertical="center"/>
    </xf>
    <xf numFmtId="0" fontId="0" fillId="0" borderId="0" xfId="0"/>
    <xf numFmtId="0" fontId="0" fillId="0" borderId="0" xfId="0" applyAlignment="1">
      <alignment vertical="center"/>
    </xf>
    <xf numFmtId="9" fontId="6" fillId="0" borderId="1" xfId="0" applyNumberFormat="1" applyFont="1" applyBorder="1" applyAlignment="1">
      <alignment vertical="center"/>
    </xf>
    <xf numFmtId="0" fontId="4" fillId="0" borderId="0" xfId="0" applyFont="1" applyAlignment="1">
      <alignment horizontal="right" vertical="center"/>
    </xf>
    <xf numFmtId="4" fontId="6" fillId="0" borderId="1" xfId="0" applyNumberFormat="1" applyFont="1" applyBorder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43" fontId="2" fillId="2" borderId="1" xfId="0" applyNumberFormat="1" applyFont="1" applyFill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right" vertical="center"/>
    </xf>
    <xf numFmtId="4" fontId="6" fillId="0" borderId="1" xfId="0" applyNumberFormat="1" applyFont="1" applyBorder="1" applyAlignment="1">
      <alignment vertical="center"/>
    </xf>
    <xf numFmtId="0" fontId="0" fillId="0" borderId="0" xfId="0"/>
    <xf numFmtId="0" fontId="0" fillId="0" borderId="0" xfId="0" applyAlignment="1">
      <alignment vertical="center"/>
    </xf>
    <xf numFmtId="164" fontId="0" fillId="0" borderId="0" xfId="0" applyNumberFormat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4" fontId="7" fillId="0" borderId="0" xfId="1" applyNumberFormat="1" applyFont="1" applyAlignment="1">
      <alignment vertical="center"/>
    </xf>
    <xf numFmtId="165" fontId="5" fillId="0" borderId="0" xfId="0" applyNumberFormat="1" applyFont="1" applyBorder="1" applyAlignment="1">
      <alignment horizontal="center" vertical="center"/>
    </xf>
    <xf numFmtId="4" fontId="8" fillId="0" borderId="0" xfId="1" applyNumberFormat="1" applyFont="1" applyAlignment="1">
      <alignment vertical="center"/>
    </xf>
    <xf numFmtId="3" fontId="8" fillId="0" borderId="0" xfId="0" applyNumberFormat="1" applyFont="1"/>
    <xf numFmtId="43" fontId="0" fillId="0" borderId="0" xfId="0" applyNumberFormat="1" applyBorder="1"/>
    <xf numFmtId="0" fontId="7" fillId="0" borderId="0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right" vertical="center"/>
    </xf>
    <xf numFmtId="0" fontId="2" fillId="2" borderId="2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43" fontId="2" fillId="2" borderId="2" xfId="0" applyNumberFormat="1" applyFont="1" applyFill="1" applyBorder="1" applyAlignment="1">
      <alignment horizontal="left" vertical="center"/>
    </xf>
    <xf numFmtId="0" fontId="6" fillId="0" borderId="2" xfId="0" applyFont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43" fontId="6" fillId="0" borderId="2" xfId="0" applyNumberFormat="1" applyFont="1" applyBorder="1" applyAlignment="1">
      <alignment horizontal="right" vertical="center"/>
    </xf>
    <xf numFmtId="166" fontId="6" fillId="0" borderId="2" xfId="0" applyNumberFormat="1" applyFont="1" applyBorder="1" applyAlignment="1">
      <alignment horizontal="right" vertical="center"/>
    </xf>
    <xf numFmtId="43" fontId="2" fillId="2" borderId="2" xfId="0" applyNumberFormat="1" applyFont="1" applyFill="1" applyBorder="1" applyAlignment="1">
      <alignment horizontal="right" vertical="center"/>
    </xf>
    <xf numFmtId="167" fontId="6" fillId="0" borderId="1" xfId="0" applyNumberFormat="1" applyFont="1" applyBorder="1" applyAlignment="1">
      <alignment horizontal="right" vertical="center"/>
    </xf>
    <xf numFmtId="4" fontId="8" fillId="0" borderId="0" xfId="0" applyNumberFormat="1" applyFont="1"/>
    <xf numFmtId="167" fontId="8" fillId="0" borderId="0" xfId="0" applyNumberFormat="1" applyFont="1"/>
    <xf numFmtId="3" fontId="6" fillId="3" borderId="1" xfId="0" applyNumberFormat="1" applyFont="1" applyFill="1" applyBorder="1" applyAlignment="1">
      <alignment horizontal="right" vertical="center"/>
    </xf>
    <xf numFmtId="4" fontId="6" fillId="3" borderId="1" xfId="0" applyNumberFormat="1" applyFont="1" applyFill="1" applyBorder="1" applyAlignment="1">
      <alignment horizontal="right" vertical="center"/>
    </xf>
    <xf numFmtId="0" fontId="9" fillId="4" borderId="2" xfId="0" applyFont="1" applyFill="1" applyBorder="1" applyAlignment="1">
      <alignment horizontal="left" vertical="center"/>
    </xf>
    <xf numFmtId="0" fontId="9" fillId="4" borderId="2" xfId="0" applyFont="1" applyFill="1" applyBorder="1" applyAlignment="1">
      <alignment horizontal="center" vertical="center"/>
    </xf>
    <xf numFmtId="43" fontId="9" fillId="4" borderId="2" xfId="0" applyNumberFormat="1" applyFont="1" applyFill="1" applyBorder="1" applyAlignment="1">
      <alignment horizontal="right" vertical="center"/>
    </xf>
    <xf numFmtId="165" fontId="5" fillId="0" borderId="0" xfId="0" applyNumberFormat="1" applyFont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0" fontId="0" fillId="0" borderId="0" xfId="0" applyNumberFormat="1" applyAlignment="1">
      <alignment vertical="center"/>
    </xf>
    <xf numFmtId="4" fontId="0" fillId="0" borderId="0" xfId="0" applyNumberFormat="1" applyAlignment="1">
      <alignment vertical="center"/>
    </xf>
    <xf numFmtId="0" fontId="6" fillId="0" borderId="1" xfId="0" applyFont="1" applyBorder="1" applyAlignment="1">
      <alignment horizontal="left" vertical="center"/>
    </xf>
    <xf numFmtId="168" fontId="6" fillId="0" borderId="1" xfId="4" applyNumberFormat="1" applyFont="1" applyBorder="1" applyAlignment="1">
      <alignment horizontal="left" vertical="center"/>
    </xf>
    <xf numFmtId="169" fontId="6" fillId="0" borderId="1" xfId="0" applyNumberFormat="1" applyFont="1" applyBorder="1" applyAlignment="1">
      <alignment vertical="center"/>
    </xf>
    <xf numFmtId="43" fontId="6" fillId="0" borderId="1" xfId="0" applyNumberFormat="1" applyFont="1" applyBorder="1" applyAlignment="1">
      <alignment vertical="center"/>
    </xf>
    <xf numFmtId="0" fontId="6" fillId="0" borderId="0" xfId="0" applyFont="1" applyAlignment="1">
      <alignment vertical="center"/>
    </xf>
    <xf numFmtId="4" fontId="8" fillId="0" borderId="5" xfId="0" applyNumberFormat="1" applyFont="1" applyBorder="1" applyAlignment="1">
      <alignment vertical="center"/>
    </xf>
    <xf numFmtId="0" fontId="10" fillId="0" borderId="5" xfId="0" applyFont="1" applyBorder="1" applyAlignment="1">
      <alignment vertical="center"/>
    </xf>
  </cellXfs>
  <cellStyles count="5">
    <cellStyle name="Moeda 2" xfId="3" xr:uid="{00000000-0005-0000-0000-000000000000}"/>
    <cellStyle name="Normal" xfId="0" builtinId="0"/>
    <cellStyle name="Porcentagem" xfId="1" builtinId="5"/>
    <cellStyle name="Vírgula" xfId="4" builtinId="3"/>
    <cellStyle name="Vírgula 2" xfId="2" xr:uid="{00000000-0005-0000-0000-000003000000}"/>
  </cellStyles>
  <dxfs count="0"/>
  <tableStyles count="1" defaultTableStyle="TableStyleMedium2" defaultPivotStyle="PivotStyleLight16">
    <tableStyle name="Invisible" pivot="0" table="0" count="0" xr9:uid="{F64F8B8B-95C5-43FD-B481-30580F968FA4}"/>
  </tableStyles>
  <colors>
    <mruColors>
      <color rgb="FFFFCB0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57151</xdr:colOff>
      <xdr:row>0</xdr:row>
      <xdr:rowOff>104775</xdr:rowOff>
    </xdr:from>
    <xdr:to>
      <xdr:col>0</xdr:col>
      <xdr:colOff>3060065</xdr:colOff>
      <xdr:row>0</xdr:row>
      <xdr:rowOff>578445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1" y="104775"/>
          <a:ext cx="3000374" cy="47113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276225</xdr:colOff>
      <xdr:row>0</xdr:row>
      <xdr:rowOff>114300</xdr:rowOff>
    </xdr:from>
    <xdr:to>
      <xdr:col>1</xdr:col>
      <xdr:colOff>1695449</xdr:colOff>
      <xdr:row>0</xdr:row>
      <xdr:rowOff>585430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225" y="114300"/>
          <a:ext cx="3000374" cy="47113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85725</xdr:rowOff>
    </xdr:from>
    <xdr:to>
      <xdr:col>1</xdr:col>
      <xdr:colOff>1523999</xdr:colOff>
      <xdr:row>0</xdr:row>
      <xdr:rowOff>556855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FE64BD9A-36F9-4588-915C-97981CE988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85725"/>
          <a:ext cx="3000374" cy="47113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95250</xdr:rowOff>
    </xdr:from>
    <xdr:to>
      <xdr:col>1</xdr:col>
      <xdr:colOff>1333499</xdr:colOff>
      <xdr:row>0</xdr:row>
      <xdr:rowOff>560030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4D6C6524-2D8B-4ADD-848E-22AEA29A4A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" y="95250"/>
          <a:ext cx="3089274" cy="4679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0"/>
  <sheetViews>
    <sheetView showGridLines="0" tabSelected="1" workbookViewId="0">
      <selection activeCell="E4" sqref="E4:F20"/>
    </sheetView>
  </sheetViews>
  <sheetFormatPr defaultColWidth="9.26953125" defaultRowHeight="19.5" customHeight="1" x14ac:dyDescent="0.35"/>
  <cols>
    <col min="1" max="1" width="67" style="1" customWidth="1"/>
    <col min="2" max="2" width="15.7265625" style="1" customWidth="1"/>
    <col min="3" max="3" width="30.7265625" style="1" customWidth="1"/>
    <col min="4" max="4" width="9.26953125" style="1"/>
    <col min="5" max="5" width="14.26953125" style="1" bestFit="1" customWidth="1"/>
    <col min="6" max="16384" width="9.26953125" style="1"/>
  </cols>
  <sheetData>
    <row r="1" spans="1:6" ht="49.5" customHeight="1" x14ac:dyDescent="0.35">
      <c r="C1" s="23" t="s">
        <v>44</v>
      </c>
    </row>
    <row r="2" spans="1:6" ht="19.5" customHeight="1" x14ac:dyDescent="0.35">
      <c r="B2" s="2" t="s">
        <v>0</v>
      </c>
      <c r="C2" s="18">
        <v>44713</v>
      </c>
    </row>
    <row r="3" spans="1:6" ht="19.5" customHeight="1" x14ac:dyDescent="0.35">
      <c r="B3" s="2"/>
      <c r="C3" s="18"/>
    </row>
    <row r="4" spans="1:6" ht="30" customHeight="1" x14ac:dyDescent="0.35">
      <c r="A4" s="24" t="s">
        <v>43</v>
      </c>
      <c r="B4" s="25" t="s">
        <v>4</v>
      </c>
      <c r="C4" s="26">
        <f>SUM(C5:C8)</f>
        <v>46565248.712023363</v>
      </c>
      <c r="E4" s="21"/>
      <c r="F4" s="21"/>
    </row>
    <row r="5" spans="1:6" ht="19.5" customHeight="1" x14ac:dyDescent="0.35">
      <c r="A5" s="27" t="s">
        <v>31</v>
      </c>
      <c r="B5" s="28" t="s">
        <v>4</v>
      </c>
      <c r="C5" s="29">
        <v>0</v>
      </c>
      <c r="E5" s="21"/>
      <c r="F5" s="21"/>
    </row>
    <row r="6" spans="1:6" ht="19.5" customHeight="1" x14ac:dyDescent="0.35">
      <c r="A6" s="27" t="s">
        <v>32</v>
      </c>
      <c r="B6" s="28" t="s">
        <v>4</v>
      </c>
      <c r="C6" s="29">
        <f>MIGDI!$I$5+SIGFI!J7</f>
        <v>234447.89202335937</v>
      </c>
      <c r="E6" s="21"/>
      <c r="F6" s="21"/>
    </row>
    <row r="7" spans="1:6" ht="19.5" customHeight="1" x14ac:dyDescent="0.35">
      <c r="A7" s="27" t="s">
        <v>33</v>
      </c>
      <c r="B7" s="28" t="s">
        <v>4</v>
      </c>
      <c r="C7" s="29">
        <f>'CONTRATOS CCESI'!V14+'CONTRATOS CCESI'!V27</f>
        <v>46330800.82</v>
      </c>
      <c r="E7" s="21"/>
      <c r="F7" s="21"/>
    </row>
    <row r="8" spans="1:6" ht="19.5" customHeight="1" x14ac:dyDescent="0.35">
      <c r="A8" s="27" t="s">
        <v>34</v>
      </c>
      <c r="B8" s="28" t="s">
        <v>4</v>
      </c>
      <c r="C8" s="29">
        <v>0</v>
      </c>
      <c r="F8" s="21"/>
    </row>
    <row r="9" spans="1:6" ht="19.5" customHeight="1" x14ac:dyDescent="0.35">
      <c r="A9" s="27" t="s">
        <v>35</v>
      </c>
      <c r="B9" s="28" t="s">
        <v>36</v>
      </c>
      <c r="C9" s="29">
        <f>'CONTRATOS CCESI'!E14+MIGDI!D5+SIGFI!E7</f>
        <v>19665.852999999999</v>
      </c>
      <c r="E9" s="21"/>
      <c r="F9" s="21"/>
    </row>
    <row r="10" spans="1:6" ht="19.5" customHeight="1" x14ac:dyDescent="0.35">
      <c r="A10" s="27" t="s">
        <v>37</v>
      </c>
      <c r="B10" s="28" t="s">
        <v>4</v>
      </c>
      <c r="C10" s="29">
        <v>0</v>
      </c>
      <c r="F10" s="21"/>
    </row>
    <row r="11" spans="1:6" ht="19.5" customHeight="1" x14ac:dyDescent="0.35">
      <c r="A11" s="27" t="s">
        <v>38</v>
      </c>
      <c r="B11" s="28" t="s">
        <v>39</v>
      </c>
      <c r="C11" s="29">
        <v>274.01</v>
      </c>
      <c r="E11" s="21"/>
      <c r="F11" s="21"/>
    </row>
    <row r="12" spans="1:6" ht="19.5" customHeight="1" x14ac:dyDescent="0.35">
      <c r="A12" s="27" t="s">
        <v>40</v>
      </c>
      <c r="B12" s="28" t="s">
        <v>41</v>
      </c>
      <c r="C12" s="30">
        <v>1</v>
      </c>
      <c r="E12" s="21"/>
      <c r="F12" s="21"/>
    </row>
    <row r="13" spans="1:6" ht="19.5" customHeight="1" x14ac:dyDescent="0.35">
      <c r="A13" s="37" t="s">
        <v>68</v>
      </c>
      <c r="B13" s="38" t="s">
        <v>4</v>
      </c>
      <c r="C13" s="39">
        <f>-ROUND(C9*C11,2)</f>
        <v>-5388640.3799999999</v>
      </c>
      <c r="E13" s="21"/>
      <c r="F13" s="21"/>
    </row>
    <row r="14" spans="1:6" ht="19.5" customHeight="1" x14ac:dyDescent="0.35">
      <c r="A14" s="37" t="s">
        <v>69</v>
      </c>
      <c r="B14" s="38" t="s">
        <v>4</v>
      </c>
      <c r="C14" s="39">
        <f>+ROUND((C4+C13)*(C12-1),2)</f>
        <v>0</v>
      </c>
      <c r="E14" s="21"/>
      <c r="F14" s="21"/>
    </row>
    <row r="15" spans="1:6" ht="19.5" customHeight="1" x14ac:dyDescent="0.35">
      <c r="A15" s="24" t="s">
        <v>1</v>
      </c>
      <c r="B15" s="25" t="s">
        <v>4</v>
      </c>
      <c r="C15" s="31">
        <f>ROUND(C4+C13+C14,2)</f>
        <v>41176608.329999998</v>
      </c>
      <c r="E15" s="21"/>
      <c r="F15" s="21"/>
    </row>
    <row r="16" spans="1:6" ht="19.5" customHeight="1" x14ac:dyDescent="0.35">
      <c r="A16" s="24" t="s">
        <v>2</v>
      </c>
      <c r="B16" s="25" t="s">
        <v>4</v>
      </c>
      <c r="C16" s="31">
        <v>27292229.989999998</v>
      </c>
      <c r="E16" s="21"/>
      <c r="F16" s="21"/>
    </row>
    <row r="17" spans="1:6" ht="19.5" customHeight="1" x14ac:dyDescent="0.35">
      <c r="A17" s="24" t="s">
        <v>3</v>
      </c>
      <c r="B17" s="25" t="s">
        <v>4</v>
      </c>
      <c r="C17" s="31">
        <f>C15-C16</f>
        <v>13884378.34</v>
      </c>
      <c r="E17" s="21"/>
      <c r="F17" s="21"/>
    </row>
    <row r="19" spans="1:6" ht="19.5" customHeight="1" x14ac:dyDescent="0.35">
      <c r="A19" s="24" t="s">
        <v>70</v>
      </c>
      <c r="B19" s="25" t="s">
        <v>4</v>
      </c>
      <c r="C19" s="31">
        <v>13790344.250000004</v>
      </c>
    </row>
    <row r="20" spans="1:6" ht="19.5" customHeight="1" x14ac:dyDescent="0.35">
      <c r="A20" s="24" t="s">
        <v>71</v>
      </c>
      <c r="B20" s="25" t="s">
        <v>4</v>
      </c>
      <c r="C20" s="31">
        <f>C17-C19</f>
        <v>94034.089999996126</v>
      </c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L27"/>
  <sheetViews>
    <sheetView showGridLines="0" workbookViewId="0">
      <selection activeCell="D2" sqref="D2"/>
    </sheetView>
  </sheetViews>
  <sheetFormatPr defaultRowHeight="19.5" customHeight="1" x14ac:dyDescent="0.35"/>
  <cols>
    <col min="1" max="1" width="23.7265625" customWidth="1"/>
    <col min="2" max="2" width="28.7265625" style="13" customWidth="1"/>
    <col min="3" max="3" width="26.7265625" customWidth="1"/>
    <col min="4" max="4" width="30.7265625" customWidth="1"/>
    <col min="5" max="14" width="16.7265625" customWidth="1"/>
    <col min="15" max="18" width="16.7265625" style="13" customWidth="1"/>
    <col min="19" max="22" width="16.7265625" customWidth="1"/>
    <col min="23" max="24" width="20.7265625" customWidth="1"/>
  </cols>
  <sheetData>
    <row r="1" spans="1:38" ht="49.5" customHeight="1" x14ac:dyDescent="0.35">
      <c r="C1" s="3" t="str">
        <f>RESUMO!C1</f>
        <v>Reembolso Mensal CCC - ENERGISA AC</v>
      </c>
    </row>
    <row r="2" spans="1:38" ht="30" customHeight="1" x14ac:dyDescent="0.35">
      <c r="A2" s="4"/>
      <c r="C2" s="7" t="s">
        <v>0</v>
      </c>
      <c r="D2" s="18">
        <f>RESUMO!C2</f>
        <v>44713</v>
      </c>
      <c r="F2" s="5"/>
      <c r="G2" s="5"/>
      <c r="H2" s="5"/>
      <c r="I2" s="5"/>
      <c r="J2" s="5"/>
      <c r="K2" s="5"/>
      <c r="L2" s="5"/>
      <c r="M2" s="5"/>
      <c r="N2" s="5"/>
      <c r="O2" s="14"/>
      <c r="P2" s="14"/>
      <c r="Q2" s="14"/>
      <c r="R2" s="14"/>
      <c r="S2" s="5"/>
      <c r="T2" s="5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</row>
    <row r="3" spans="1:38" s="13" customFormat="1" ht="15.5" x14ac:dyDescent="0.35">
      <c r="C3" s="7"/>
      <c r="D3" s="18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</row>
    <row r="4" spans="1:38" s="15" customFormat="1" ht="60" customHeight="1" x14ac:dyDescent="0.35">
      <c r="A4" s="16" t="s">
        <v>5</v>
      </c>
      <c r="B4" s="16" t="s">
        <v>52</v>
      </c>
      <c r="C4" s="16" t="s">
        <v>6</v>
      </c>
      <c r="D4" s="16" t="s">
        <v>7</v>
      </c>
      <c r="E4" s="16" t="s">
        <v>8</v>
      </c>
      <c r="F4" s="16" t="s">
        <v>53</v>
      </c>
      <c r="G4" s="16" t="s">
        <v>54</v>
      </c>
      <c r="H4" s="16" t="s">
        <v>55</v>
      </c>
      <c r="I4" s="16" t="s">
        <v>56</v>
      </c>
      <c r="J4" s="16" t="s">
        <v>57</v>
      </c>
      <c r="K4" s="16" t="s">
        <v>58</v>
      </c>
      <c r="L4" s="16" t="s">
        <v>59</v>
      </c>
      <c r="M4" s="16" t="s">
        <v>60</v>
      </c>
      <c r="N4" s="16" t="s">
        <v>61</v>
      </c>
      <c r="O4" s="10" t="s">
        <v>62</v>
      </c>
      <c r="P4" s="10" t="s">
        <v>63</v>
      </c>
      <c r="Q4" s="10" t="s">
        <v>64</v>
      </c>
      <c r="R4" s="10" t="s">
        <v>65</v>
      </c>
      <c r="S4" s="10" t="s">
        <v>9</v>
      </c>
      <c r="T4" s="10" t="s">
        <v>66</v>
      </c>
      <c r="U4" s="10" t="s">
        <v>67</v>
      </c>
      <c r="V4" s="10" t="s">
        <v>49</v>
      </c>
      <c r="W4" s="14"/>
      <c r="X4" s="14"/>
      <c r="Y4" s="14"/>
    </row>
    <row r="5" spans="1:38" s="15" customFormat="1" ht="20.149999999999999" customHeight="1" x14ac:dyDescent="0.35">
      <c r="A5" s="9" t="s">
        <v>45</v>
      </c>
      <c r="B5" s="9" t="s">
        <v>10</v>
      </c>
      <c r="C5" s="9" t="s">
        <v>11</v>
      </c>
      <c r="D5" s="9" t="s">
        <v>12</v>
      </c>
      <c r="E5" s="32">
        <v>255.958</v>
      </c>
      <c r="F5" s="11">
        <v>2044</v>
      </c>
      <c r="G5" s="8">
        <v>1051967.907472</v>
      </c>
      <c r="H5" s="8">
        <v>569486.57201700006</v>
      </c>
      <c r="I5" s="8">
        <f>SUM(G5:H5)</f>
        <v>1621454.479489</v>
      </c>
      <c r="J5" s="8">
        <f>IF(E5=0,0,I5/E5)</f>
        <v>6334.8458711546427</v>
      </c>
      <c r="K5" s="8">
        <v>1578757.88</v>
      </c>
      <c r="L5" s="8">
        <v>6168.0108</v>
      </c>
      <c r="M5" s="8">
        <f t="shared" ref="M5" si="0">MIN(I5,K5)</f>
        <v>1578757.88</v>
      </c>
      <c r="N5" s="8">
        <f>IF(E5=0,0,M5/E5)</f>
        <v>6168.0349119777457</v>
      </c>
      <c r="O5" s="12">
        <f>N5*0.0925</f>
        <v>570.54322935794141</v>
      </c>
      <c r="P5" s="12">
        <f>N5-O5</f>
        <v>5597.4916826198041</v>
      </c>
      <c r="Q5" s="12">
        <f t="shared" ref="Q5" si="1">E5*O5</f>
        <v>146035.10389999996</v>
      </c>
      <c r="R5" s="12">
        <f>ROUND(E5*P5,6)</f>
        <v>1432722.7760999999</v>
      </c>
      <c r="S5" s="6">
        <v>1</v>
      </c>
      <c r="T5" s="12">
        <f>ROUND(Q5*S5,6)</f>
        <v>146035.10389999999</v>
      </c>
      <c r="U5" s="12">
        <f>R5</f>
        <v>1432722.7760999999</v>
      </c>
      <c r="V5" s="12">
        <f>SUM(T5:U5)</f>
        <v>1578757.88</v>
      </c>
      <c r="W5" s="14"/>
      <c r="X5" s="14"/>
      <c r="Y5" s="14"/>
    </row>
    <row r="6" spans="1:38" s="15" customFormat="1" ht="20.149999999999999" customHeight="1" x14ac:dyDescent="0.35">
      <c r="A6" s="9" t="s">
        <v>45</v>
      </c>
      <c r="B6" s="9" t="s">
        <v>10</v>
      </c>
      <c r="C6" s="9" t="s">
        <v>13</v>
      </c>
      <c r="D6" s="9" t="s">
        <v>14</v>
      </c>
      <c r="E6" s="32">
        <v>575.87800000000004</v>
      </c>
      <c r="F6" s="11">
        <v>3754</v>
      </c>
      <c r="G6" s="8">
        <v>1333348.875025</v>
      </c>
      <c r="H6" s="8">
        <v>1230368.3895030001</v>
      </c>
      <c r="I6" s="8">
        <f t="shared" ref="I6:I13" si="2">SUM(G6:H6)</f>
        <v>2563717.2645279998</v>
      </c>
      <c r="J6" s="8">
        <f t="shared" ref="J6:J13" si="3">IF(E6=0,0,I6/E6)</f>
        <v>4451.8409533408112</v>
      </c>
      <c r="K6" s="8">
        <v>2467665.1800000002</v>
      </c>
      <c r="L6" s="8">
        <v>4285.0411000000004</v>
      </c>
      <c r="M6" s="8">
        <f t="shared" ref="M6:M13" si="4">MIN(I6,K6)</f>
        <v>2467665.1800000002</v>
      </c>
      <c r="N6" s="8">
        <f t="shared" ref="N6:N13" si="5">IF(E6=0,0,M6/E6)</f>
        <v>4285.0485345854504</v>
      </c>
      <c r="O6" s="12">
        <f t="shared" ref="O6:O13" si="6">N6*0.0925</f>
        <v>396.36698944915418</v>
      </c>
      <c r="P6" s="12">
        <f t="shared" ref="P6:P13" si="7">N6-O6</f>
        <v>3888.6815451362963</v>
      </c>
      <c r="Q6" s="12">
        <f t="shared" ref="Q6:Q13" si="8">E6*O6</f>
        <v>228259.02915000002</v>
      </c>
      <c r="R6" s="12">
        <f t="shared" ref="R6:R13" si="9">ROUND(E6*P6,6)</f>
        <v>2239406.1508499999</v>
      </c>
      <c r="S6" s="6">
        <v>1</v>
      </c>
      <c r="T6" s="12">
        <f t="shared" ref="T6:T13" si="10">ROUND(Q6*S6,6)</f>
        <v>228259.02914999999</v>
      </c>
      <c r="U6" s="12">
        <f t="shared" ref="U6:U13" si="11">R6</f>
        <v>2239406.1508499999</v>
      </c>
      <c r="V6" s="12">
        <f t="shared" ref="V6:V13" si="12">SUM(T6:U6)</f>
        <v>2467665.1799999997</v>
      </c>
      <c r="W6" s="14"/>
      <c r="X6" s="14"/>
      <c r="Y6" s="14"/>
    </row>
    <row r="7" spans="1:38" s="15" customFormat="1" ht="20.149999999999999" customHeight="1" x14ac:dyDescent="0.35">
      <c r="A7" s="9" t="s">
        <v>45</v>
      </c>
      <c r="B7" s="9" t="s">
        <v>10</v>
      </c>
      <c r="C7" s="9" t="s">
        <v>15</v>
      </c>
      <c r="D7" s="9" t="s">
        <v>16</v>
      </c>
      <c r="E7" s="32">
        <v>485.32900000000001</v>
      </c>
      <c r="F7" s="11">
        <v>3691</v>
      </c>
      <c r="G7" s="8">
        <v>1069744.368218</v>
      </c>
      <c r="H7" s="8">
        <v>1022858.262963</v>
      </c>
      <c r="I7" s="8">
        <f t="shared" si="2"/>
        <v>2092602.631181</v>
      </c>
      <c r="J7" s="8">
        <f t="shared" si="3"/>
        <v>4311.7197430629531</v>
      </c>
      <c r="K7" s="8">
        <v>2009035.4</v>
      </c>
      <c r="L7" s="8">
        <v>4151.0797000000002</v>
      </c>
      <c r="M7" s="8">
        <f t="shared" si="4"/>
        <v>2009035.4</v>
      </c>
      <c r="N7" s="8">
        <f t="shared" si="5"/>
        <v>4139.5329765993783</v>
      </c>
      <c r="O7" s="12">
        <f t="shared" si="6"/>
        <v>382.90680033544248</v>
      </c>
      <c r="P7" s="12">
        <f t="shared" si="7"/>
        <v>3756.626176263936</v>
      </c>
      <c r="Q7" s="12">
        <f t="shared" si="8"/>
        <v>185835.77449999997</v>
      </c>
      <c r="R7" s="12">
        <f t="shared" si="9"/>
        <v>1823199.6255000001</v>
      </c>
      <c r="S7" s="6">
        <v>1</v>
      </c>
      <c r="T7" s="12">
        <f t="shared" si="10"/>
        <v>185835.7745</v>
      </c>
      <c r="U7" s="12">
        <f t="shared" si="11"/>
        <v>1823199.6255000001</v>
      </c>
      <c r="V7" s="12">
        <f t="shared" si="12"/>
        <v>2009035.4000000001</v>
      </c>
      <c r="W7" s="14"/>
      <c r="X7" s="14"/>
      <c r="Y7" s="14"/>
    </row>
    <row r="8" spans="1:38" s="15" customFormat="1" ht="20.149999999999999" customHeight="1" x14ac:dyDescent="0.35">
      <c r="A8" s="9" t="s">
        <v>45</v>
      </c>
      <c r="B8" s="9" t="s">
        <v>10</v>
      </c>
      <c r="C8" s="9" t="s">
        <v>17</v>
      </c>
      <c r="D8" s="9" t="s">
        <v>18</v>
      </c>
      <c r="E8" s="32">
        <v>200.727</v>
      </c>
      <c r="F8" s="11">
        <v>2055</v>
      </c>
      <c r="G8" s="8">
        <v>813213.75577599998</v>
      </c>
      <c r="H8" s="8">
        <v>438242.18797299999</v>
      </c>
      <c r="I8" s="8">
        <f t="shared" si="2"/>
        <v>1251455.9437489999</v>
      </c>
      <c r="J8" s="8">
        <f t="shared" si="3"/>
        <v>6234.6168863630692</v>
      </c>
      <c r="K8" s="8">
        <v>1217886.3500000001</v>
      </c>
      <c r="L8" s="8">
        <v>6068.6769000000004</v>
      </c>
      <c r="M8" s="8">
        <f t="shared" si="4"/>
        <v>1217886.3500000001</v>
      </c>
      <c r="N8" s="8">
        <f t="shared" si="5"/>
        <v>6067.3768352040333</v>
      </c>
      <c r="O8" s="12">
        <f t="shared" si="6"/>
        <v>561.23235725637312</v>
      </c>
      <c r="P8" s="12">
        <f t="shared" si="7"/>
        <v>5506.1444779476606</v>
      </c>
      <c r="Q8" s="12">
        <f t="shared" si="8"/>
        <v>112654.48737500001</v>
      </c>
      <c r="R8" s="12">
        <f t="shared" si="9"/>
        <v>1105231.8626250001</v>
      </c>
      <c r="S8" s="6">
        <v>1</v>
      </c>
      <c r="T8" s="12">
        <f t="shared" si="10"/>
        <v>112654.487375</v>
      </c>
      <c r="U8" s="12">
        <f t="shared" si="11"/>
        <v>1105231.8626250001</v>
      </c>
      <c r="V8" s="12">
        <f t="shared" si="12"/>
        <v>1217886.3500000001</v>
      </c>
      <c r="W8" s="14"/>
      <c r="X8" s="14"/>
      <c r="Y8" s="14"/>
    </row>
    <row r="9" spans="1:38" s="15" customFormat="1" ht="20.149999999999999" customHeight="1" x14ac:dyDescent="0.35">
      <c r="A9" s="9" t="s">
        <v>45</v>
      </c>
      <c r="B9" s="9" t="s">
        <v>19</v>
      </c>
      <c r="C9" s="9" t="s">
        <v>20</v>
      </c>
      <c r="D9" s="9" t="s">
        <v>21</v>
      </c>
      <c r="E9" s="32">
        <v>13853.173000000001</v>
      </c>
      <c r="F9" s="11">
        <v>30060</v>
      </c>
      <c r="G9" s="8">
        <v>1942230.7841390001</v>
      </c>
      <c r="H9" s="8">
        <v>27511923.815354001</v>
      </c>
      <c r="I9" s="8">
        <f t="shared" si="2"/>
        <v>29454154.599493001</v>
      </c>
      <c r="J9" s="8">
        <f t="shared" si="3"/>
        <v>2126.1666622868997</v>
      </c>
      <c r="K9" s="8">
        <v>28128774.210000001</v>
      </c>
      <c r="L9" s="8">
        <v>2030.4930999999999</v>
      </c>
      <c r="M9" s="8">
        <f t="shared" si="4"/>
        <v>28128774.210000001</v>
      </c>
      <c r="N9" s="8">
        <f t="shared" si="5"/>
        <v>2030.4932458433891</v>
      </c>
      <c r="O9" s="12">
        <f t="shared" si="6"/>
        <v>187.82062524051349</v>
      </c>
      <c r="P9" s="12">
        <f t="shared" si="7"/>
        <v>1842.6726206028757</v>
      </c>
      <c r="Q9" s="12">
        <f t="shared" si="8"/>
        <v>2601911.6144250003</v>
      </c>
      <c r="R9" s="12">
        <f t="shared" si="9"/>
        <v>25526862.595575001</v>
      </c>
      <c r="S9" s="6">
        <v>1</v>
      </c>
      <c r="T9" s="12">
        <f t="shared" si="10"/>
        <v>2601911.6144249998</v>
      </c>
      <c r="U9" s="12">
        <f t="shared" si="11"/>
        <v>25526862.595575001</v>
      </c>
      <c r="V9" s="12">
        <f t="shared" si="12"/>
        <v>28128774.210000001</v>
      </c>
      <c r="W9" s="14"/>
      <c r="X9" s="14"/>
      <c r="Y9" s="14"/>
    </row>
    <row r="10" spans="1:38" s="15" customFormat="1" ht="20.149999999999999" customHeight="1" x14ac:dyDescent="0.35">
      <c r="A10" s="9" t="s">
        <v>45</v>
      </c>
      <c r="B10" s="9" t="s">
        <v>19</v>
      </c>
      <c r="C10" s="9" t="s">
        <v>22</v>
      </c>
      <c r="D10" s="9" t="s">
        <v>23</v>
      </c>
      <c r="E10" s="32">
        <v>1877.595</v>
      </c>
      <c r="F10" s="11">
        <v>6250</v>
      </c>
      <c r="G10" s="8">
        <v>351134.86971499998</v>
      </c>
      <c r="H10" s="8">
        <v>3799004.7537910002</v>
      </c>
      <c r="I10" s="8">
        <f t="shared" si="2"/>
        <v>4150139.6235060003</v>
      </c>
      <c r="J10" s="8">
        <f t="shared" si="3"/>
        <v>2210.3486766347378</v>
      </c>
      <c r="K10" s="8">
        <v>3967791.76</v>
      </c>
      <c r="L10" s="8">
        <v>2113.2309</v>
      </c>
      <c r="M10" s="8">
        <f t="shared" si="4"/>
        <v>3967791.76</v>
      </c>
      <c r="N10" s="8">
        <f t="shared" si="5"/>
        <v>2113.2308937763469</v>
      </c>
      <c r="O10" s="12">
        <f t="shared" si="6"/>
        <v>195.47385767431209</v>
      </c>
      <c r="P10" s="12">
        <f t="shared" si="7"/>
        <v>1917.7570361020348</v>
      </c>
      <c r="Q10" s="12">
        <f t="shared" si="8"/>
        <v>367020.7378</v>
      </c>
      <c r="R10" s="12">
        <f t="shared" si="9"/>
        <v>3600771.0222</v>
      </c>
      <c r="S10" s="6">
        <v>1</v>
      </c>
      <c r="T10" s="12">
        <f t="shared" si="10"/>
        <v>367020.7378</v>
      </c>
      <c r="U10" s="12">
        <f t="shared" si="11"/>
        <v>3600771.0222</v>
      </c>
      <c r="V10" s="12">
        <f t="shared" si="12"/>
        <v>3967791.76</v>
      </c>
      <c r="W10" s="14"/>
      <c r="X10" s="14"/>
      <c r="Y10" s="14"/>
    </row>
    <row r="11" spans="1:38" s="15" customFormat="1" ht="20.149999999999999" customHeight="1" x14ac:dyDescent="0.35">
      <c r="A11" s="9" t="s">
        <v>45</v>
      </c>
      <c r="B11" s="9" t="s">
        <v>19</v>
      </c>
      <c r="C11" s="9" t="s">
        <v>24</v>
      </c>
      <c r="D11" s="9" t="s">
        <v>25</v>
      </c>
      <c r="E11" s="32">
        <v>2394.7359999999999</v>
      </c>
      <c r="F11" s="11">
        <v>8090</v>
      </c>
      <c r="G11" s="8">
        <v>395945.79104699998</v>
      </c>
      <c r="H11" s="8">
        <v>4822829.1405929998</v>
      </c>
      <c r="I11" s="8">
        <f t="shared" si="2"/>
        <v>5218774.9316400001</v>
      </c>
      <c r="J11" s="8">
        <f t="shared" si="3"/>
        <v>2179.2694191092464</v>
      </c>
      <c r="K11" s="8">
        <v>4985765.05</v>
      </c>
      <c r="L11" s="8">
        <v>2082.4211</v>
      </c>
      <c r="M11" s="8">
        <f t="shared" si="4"/>
        <v>4985765.05</v>
      </c>
      <c r="N11" s="8">
        <f t="shared" si="5"/>
        <v>2081.9685551977336</v>
      </c>
      <c r="O11" s="12">
        <f t="shared" si="6"/>
        <v>192.58209135579037</v>
      </c>
      <c r="P11" s="12">
        <f t="shared" si="7"/>
        <v>1889.3864638419432</v>
      </c>
      <c r="Q11" s="12">
        <f t="shared" si="8"/>
        <v>461183.26712499995</v>
      </c>
      <c r="R11" s="12">
        <f t="shared" si="9"/>
        <v>4524581.7828749996</v>
      </c>
      <c r="S11" s="6">
        <v>1</v>
      </c>
      <c r="T11" s="12">
        <f t="shared" si="10"/>
        <v>461183.26712500001</v>
      </c>
      <c r="U11" s="12">
        <f t="shared" si="11"/>
        <v>4524581.7828749996</v>
      </c>
      <c r="V11" s="12">
        <f t="shared" si="12"/>
        <v>4985765.05</v>
      </c>
      <c r="W11" s="14"/>
      <c r="X11" s="14"/>
      <c r="Y11" s="14"/>
    </row>
    <row r="12" spans="1:38" s="15" customFormat="1" ht="20.149999999999999" customHeight="1" x14ac:dyDescent="0.35">
      <c r="A12" s="9" t="s">
        <v>45</v>
      </c>
      <c r="B12" s="9" t="s">
        <v>26</v>
      </c>
      <c r="C12" s="9" t="s">
        <v>27</v>
      </c>
      <c r="D12" s="9" t="s">
        <v>28</v>
      </c>
      <c r="E12" s="32">
        <v>0</v>
      </c>
      <c r="F12" s="11">
        <v>0</v>
      </c>
      <c r="G12" s="8">
        <v>0</v>
      </c>
      <c r="H12" s="8">
        <v>0</v>
      </c>
      <c r="I12" s="8">
        <f t="shared" si="2"/>
        <v>0</v>
      </c>
      <c r="J12" s="8">
        <f t="shared" si="3"/>
        <v>0</v>
      </c>
      <c r="K12" s="8">
        <v>0</v>
      </c>
      <c r="L12" s="8">
        <v>0</v>
      </c>
      <c r="M12" s="8">
        <f t="shared" si="4"/>
        <v>0</v>
      </c>
      <c r="N12" s="8">
        <f t="shared" si="5"/>
        <v>0</v>
      </c>
      <c r="O12" s="12">
        <f t="shared" si="6"/>
        <v>0</v>
      </c>
      <c r="P12" s="12">
        <f t="shared" si="7"/>
        <v>0</v>
      </c>
      <c r="Q12" s="12">
        <f t="shared" si="8"/>
        <v>0</v>
      </c>
      <c r="R12" s="12">
        <f t="shared" si="9"/>
        <v>0</v>
      </c>
      <c r="S12" s="6">
        <v>1</v>
      </c>
      <c r="T12" s="12">
        <f t="shared" si="10"/>
        <v>0</v>
      </c>
      <c r="U12" s="12">
        <f t="shared" si="11"/>
        <v>0</v>
      </c>
      <c r="V12" s="12">
        <f t="shared" si="12"/>
        <v>0</v>
      </c>
      <c r="W12" s="14"/>
      <c r="X12" s="14"/>
      <c r="Y12" s="14"/>
    </row>
    <row r="13" spans="1:38" s="15" customFormat="1" ht="20.149999999999999" customHeight="1" x14ac:dyDescent="0.35">
      <c r="A13" s="9" t="s">
        <v>45</v>
      </c>
      <c r="B13" s="9" t="s">
        <v>26</v>
      </c>
      <c r="C13" s="9" t="s">
        <v>29</v>
      </c>
      <c r="D13" s="9" t="s">
        <v>30</v>
      </c>
      <c r="E13" s="32">
        <v>0</v>
      </c>
      <c r="F13" s="11">
        <v>0</v>
      </c>
      <c r="G13" s="8">
        <v>0</v>
      </c>
      <c r="H13" s="8">
        <v>0</v>
      </c>
      <c r="I13" s="8">
        <f t="shared" si="2"/>
        <v>0</v>
      </c>
      <c r="J13" s="8">
        <f t="shared" si="3"/>
        <v>0</v>
      </c>
      <c r="K13" s="8">
        <v>0</v>
      </c>
      <c r="L13" s="8">
        <v>0</v>
      </c>
      <c r="M13" s="8">
        <f t="shared" si="4"/>
        <v>0</v>
      </c>
      <c r="N13" s="8">
        <f t="shared" si="5"/>
        <v>0</v>
      </c>
      <c r="O13" s="12">
        <f t="shared" si="6"/>
        <v>0</v>
      </c>
      <c r="P13" s="12">
        <f t="shared" si="7"/>
        <v>0</v>
      </c>
      <c r="Q13" s="12">
        <f t="shared" si="8"/>
        <v>0</v>
      </c>
      <c r="R13" s="12">
        <f t="shared" si="9"/>
        <v>0</v>
      </c>
      <c r="S13" s="6">
        <v>1</v>
      </c>
      <c r="T13" s="12">
        <f t="shared" si="10"/>
        <v>0</v>
      </c>
      <c r="U13" s="12">
        <f t="shared" si="11"/>
        <v>0</v>
      </c>
      <c r="V13" s="12">
        <f t="shared" si="12"/>
        <v>0</v>
      </c>
      <c r="W13" s="14"/>
      <c r="X13" s="14"/>
      <c r="Y13" s="14"/>
    </row>
    <row r="14" spans="1:38" ht="19.5" customHeight="1" x14ac:dyDescent="0.35">
      <c r="E14" s="34">
        <f>SUM(E5:E13)</f>
        <v>19643.396000000001</v>
      </c>
      <c r="I14" s="17"/>
      <c r="V14" s="19">
        <f>SUM(V5:V13)</f>
        <v>44355675.829999998</v>
      </c>
    </row>
    <row r="16" spans="1:38" ht="19.5" customHeight="1" x14ac:dyDescent="0.35">
      <c r="A16" s="22" t="s">
        <v>42</v>
      </c>
    </row>
    <row r="17" spans="1:25" s="15" customFormat="1" ht="60" customHeight="1" x14ac:dyDescent="0.35">
      <c r="A17" s="16" t="s">
        <v>5</v>
      </c>
      <c r="B17" s="16" t="s">
        <v>52</v>
      </c>
      <c r="C17" s="16" t="s">
        <v>6</v>
      </c>
      <c r="D17" s="16" t="s">
        <v>7</v>
      </c>
      <c r="E17" s="16" t="s">
        <v>8</v>
      </c>
      <c r="F17" s="16" t="s">
        <v>53</v>
      </c>
      <c r="G17" s="16" t="s">
        <v>54</v>
      </c>
      <c r="H17" s="16" t="s">
        <v>55</v>
      </c>
      <c r="I17" s="16" t="s">
        <v>56</v>
      </c>
      <c r="J17" s="16" t="s">
        <v>57</v>
      </c>
      <c r="K17" s="16" t="s">
        <v>58</v>
      </c>
      <c r="L17" s="16" t="s">
        <v>59</v>
      </c>
      <c r="M17" s="16" t="s">
        <v>60</v>
      </c>
      <c r="N17" s="16" t="s">
        <v>61</v>
      </c>
      <c r="O17" s="10" t="s">
        <v>62</v>
      </c>
      <c r="P17" s="10" t="s">
        <v>63</v>
      </c>
      <c r="Q17" s="10" t="s">
        <v>64</v>
      </c>
      <c r="R17" s="10" t="s">
        <v>65</v>
      </c>
      <c r="S17" s="10" t="s">
        <v>9</v>
      </c>
      <c r="T17" s="10" t="s">
        <v>66</v>
      </c>
      <c r="U17" s="10" t="s">
        <v>67</v>
      </c>
      <c r="V17" s="10" t="s">
        <v>49</v>
      </c>
      <c r="W17" s="14"/>
      <c r="X17" s="14"/>
      <c r="Y17" s="14"/>
    </row>
    <row r="18" spans="1:25" s="15" customFormat="1" ht="20.149999999999999" customHeight="1" x14ac:dyDescent="0.35">
      <c r="A18" s="9" t="s">
        <v>45</v>
      </c>
      <c r="B18" s="9" t="s">
        <v>10</v>
      </c>
      <c r="C18" s="9" t="s">
        <v>11</v>
      </c>
      <c r="D18" s="9" t="s">
        <v>12</v>
      </c>
      <c r="E18" s="11">
        <v>269.548</v>
      </c>
      <c r="F18" s="11">
        <v>2044</v>
      </c>
      <c r="G18" s="35"/>
      <c r="H18" s="35"/>
      <c r="I18" s="35"/>
      <c r="J18" s="36"/>
      <c r="K18" s="8">
        <v>27096.85</v>
      </c>
      <c r="L18" s="8">
        <v>100.527</v>
      </c>
      <c r="M18" s="8">
        <f>K18</f>
        <v>27096.85</v>
      </c>
      <c r="N18" s="8">
        <f t="shared" ref="N18:N26" si="13">IF(E18=0,0,M18/E18)</f>
        <v>100.52699333699378</v>
      </c>
      <c r="O18" s="12">
        <f t="shared" ref="O18" si="14">N18*0.0925</f>
        <v>9.2987468836719245</v>
      </c>
      <c r="P18" s="12">
        <f t="shared" ref="P18" si="15">N18-O18</f>
        <v>91.228246453321859</v>
      </c>
      <c r="Q18" s="12">
        <f>E18*O18</f>
        <v>2506.4586249999998</v>
      </c>
      <c r="R18" s="12">
        <f t="shared" ref="R18" si="16">ROUND(E18*P18,6)</f>
        <v>24590.391374999999</v>
      </c>
      <c r="S18" s="6">
        <v>1</v>
      </c>
      <c r="T18" s="12">
        <f t="shared" ref="T18" si="17">ROUND(Q18*S18,6)</f>
        <v>2506.4586250000002</v>
      </c>
      <c r="U18" s="12">
        <f t="shared" ref="U18" si="18">R18</f>
        <v>24590.391374999999</v>
      </c>
      <c r="V18" s="12">
        <f t="shared" ref="V18" si="19">SUM(T18:U18)</f>
        <v>27096.85</v>
      </c>
      <c r="W18" s="14"/>
      <c r="X18" s="14"/>
      <c r="Y18" s="14"/>
    </row>
    <row r="19" spans="1:25" s="15" customFormat="1" ht="20.149999999999999" customHeight="1" x14ac:dyDescent="0.35">
      <c r="A19" s="9" t="s">
        <v>45</v>
      </c>
      <c r="B19" s="9" t="s">
        <v>10</v>
      </c>
      <c r="C19" s="9" t="s">
        <v>13</v>
      </c>
      <c r="D19" s="9" t="s">
        <v>14</v>
      </c>
      <c r="E19" s="11">
        <v>602.08500000000004</v>
      </c>
      <c r="F19" s="11">
        <v>3754</v>
      </c>
      <c r="G19" s="35"/>
      <c r="H19" s="35"/>
      <c r="I19" s="35"/>
      <c r="J19" s="36"/>
      <c r="K19" s="8">
        <v>60525.8</v>
      </c>
      <c r="L19" s="8">
        <v>100.527</v>
      </c>
      <c r="M19" s="8">
        <f t="shared" ref="M19:M26" si="20">K19</f>
        <v>60525.8</v>
      </c>
      <c r="N19" s="8">
        <f t="shared" si="13"/>
        <v>100.52700200137855</v>
      </c>
      <c r="O19" s="12">
        <f t="shared" ref="O19:O26" si="21">N19*0.0925</f>
        <v>9.2987476851275161</v>
      </c>
      <c r="P19" s="12">
        <f t="shared" ref="P19:P26" si="22">N19-O19</f>
        <v>91.228254316251025</v>
      </c>
      <c r="Q19" s="12">
        <f t="shared" ref="Q19:Q26" si="23">E19*O19</f>
        <v>5598.6365000000005</v>
      </c>
      <c r="R19" s="12">
        <f t="shared" ref="R19:R26" si="24">ROUND(E19*P19,6)</f>
        <v>54927.163500000002</v>
      </c>
      <c r="S19" s="6">
        <v>1</v>
      </c>
      <c r="T19" s="12">
        <f t="shared" ref="T19:T26" si="25">ROUND(Q19*S19,6)</f>
        <v>5598.6364999999996</v>
      </c>
      <c r="U19" s="12">
        <f t="shared" ref="U19:U26" si="26">R19</f>
        <v>54927.163500000002</v>
      </c>
      <c r="V19" s="12">
        <f t="shared" ref="V19:V26" si="27">SUM(T19:U19)</f>
        <v>60525.8</v>
      </c>
      <c r="W19" s="14"/>
      <c r="X19" s="14"/>
      <c r="Y19" s="14"/>
    </row>
    <row r="20" spans="1:25" s="15" customFormat="1" ht="20.149999999999999" customHeight="1" x14ac:dyDescent="0.35">
      <c r="A20" s="9" t="s">
        <v>45</v>
      </c>
      <c r="B20" s="9" t="s">
        <v>10</v>
      </c>
      <c r="C20" s="9" t="s">
        <v>15</v>
      </c>
      <c r="D20" s="9" t="s">
        <v>16</v>
      </c>
      <c r="E20" s="11">
        <v>502.30900000000003</v>
      </c>
      <c r="F20" s="11">
        <v>3691</v>
      </c>
      <c r="G20" s="35"/>
      <c r="H20" s="35"/>
      <c r="I20" s="35"/>
      <c r="J20" s="36"/>
      <c r="K20" s="8">
        <v>50427.86</v>
      </c>
      <c r="L20" s="8">
        <v>100.527</v>
      </c>
      <c r="M20" s="8">
        <f t="shared" si="20"/>
        <v>50427.86</v>
      </c>
      <c r="N20" s="8">
        <f t="shared" si="13"/>
        <v>100.39210923953183</v>
      </c>
      <c r="O20" s="12">
        <f t="shared" si="21"/>
        <v>9.286270104656694</v>
      </c>
      <c r="P20" s="12">
        <f t="shared" si="22"/>
        <v>91.10583913487514</v>
      </c>
      <c r="Q20" s="12">
        <f t="shared" si="23"/>
        <v>4664.5770499999999</v>
      </c>
      <c r="R20" s="12">
        <f t="shared" si="24"/>
        <v>45763.282950000001</v>
      </c>
      <c r="S20" s="6">
        <v>1</v>
      </c>
      <c r="T20" s="12">
        <f t="shared" si="25"/>
        <v>4664.5770499999999</v>
      </c>
      <c r="U20" s="12">
        <f t="shared" si="26"/>
        <v>45763.282950000001</v>
      </c>
      <c r="V20" s="12">
        <f t="shared" si="27"/>
        <v>50427.86</v>
      </c>
      <c r="W20" s="14"/>
      <c r="X20" s="14"/>
      <c r="Y20" s="14"/>
    </row>
    <row r="21" spans="1:25" s="15" customFormat="1" ht="20.149999999999999" customHeight="1" x14ac:dyDescent="0.35">
      <c r="A21" s="9" t="s">
        <v>45</v>
      </c>
      <c r="B21" s="9" t="s">
        <v>10</v>
      </c>
      <c r="C21" s="9" t="s">
        <v>17</v>
      </c>
      <c r="D21" s="9" t="s">
        <v>18</v>
      </c>
      <c r="E21" s="11">
        <v>215.53100000000001</v>
      </c>
      <c r="F21" s="11">
        <v>2055</v>
      </c>
      <c r="G21" s="35"/>
      <c r="H21" s="35"/>
      <c r="I21" s="35"/>
      <c r="J21" s="36"/>
      <c r="K21" s="8">
        <v>21666.68</v>
      </c>
      <c r="L21" s="8">
        <v>100.527</v>
      </c>
      <c r="M21" s="8">
        <f t="shared" si="20"/>
        <v>21666.68</v>
      </c>
      <c r="N21" s="8">
        <f t="shared" si="13"/>
        <v>100.52697755775272</v>
      </c>
      <c r="O21" s="12">
        <f t="shared" si="21"/>
        <v>9.2987454240921252</v>
      </c>
      <c r="P21" s="12">
        <f t="shared" si="22"/>
        <v>91.228232133660583</v>
      </c>
      <c r="Q21" s="12">
        <f t="shared" si="23"/>
        <v>2004.1678999999999</v>
      </c>
      <c r="R21" s="12">
        <f t="shared" si="24"/>
        <v>19662.5121</v>
      </c>
      <c r="S21" s="6">
        <v>1</v>
      </c>
      <c r="T21" s="12">
        <f t="shared" si="25"/>
        <v>2004.1678999999999</v>
      </c>
      <c r="U21" s="12">
        <f t="shared" si="26"/>
        <v>19662.5121</v>
      </c>
      <c r="V21" s="12">
        <f t="shared" si="27"/>
        <v>21666.68</v>
      </c>
      <c r="W21" s="14"/>
      <c r="X21" s="14"/>
      <c r="Y21" s="14"/>
    </row>
    <row r="22" spans="1:25" s="15" customFormat="1" ht="20.149999999999999" customHeight="1" x14ac:dyDescent="0.35">
      <c r="A22" s="9" t="s">
        <v>45</v>
      </c>
      <c r="B22" s="9" t="s">
        <v>19</v>
      </c>
      <c r="C22" s="9" t="s">
        <v>20</v>
      </c>
      <c r="D22" s="9" t="s">
        <v>21</v>
      </c>
      <c r="E22" s="11">
        <v>14521.953</v>
      </c>
      <c r="F22" s="11">
        <v>30060</v>
      </c>
      <c r="G22" s="35"/>
      <c r="H22" s="35"/>
      <c r="I22" s="35"/>
      <c r="J22" s="36"/>
      <c r="K22" s="8">
        <v>1379536.15</v>
      </c>
      <c r="L22" s="8">
        <v>94.996600000000001</v>
      </c>
      <c r="M22" s="8">
        <f t="shared" si="20"/>
        <v>1379536.15</v>
      </c>
      <c r="N22" s="8">
        <f t="shared" si="13"/>
        <v>94.996599286611101</v>
      </c>
      <c r="O22" s="12">
        <f t="shared" si="21"/>
        <v>8.7871854340115263</v>
      </c>
      <c r="P22" s="12">
        <f t="shared" si="22"/>
        <v>86.209413852599567</v>
      </c>
      <c r="Q22" s="12">
        <f t="shared" si="23"/>
        <v>127607.09387499998</v>
      </c>
      <c r="R22" s="12">
        <f t="shared" si="24"/>
        <v>1251929.0561249999</v>
      </c>
      <c r="S22" s="6">
        <v>1</v>
      </c>
      <c r="T22" s="12">
        <f t="shared" si="25"/>
        <v>127607.09387500001</v>
      </c>
      <c r="U22" s="12">
        <f t="shared" si="26"/>
        <v>1251929.0561249999</v>
      </c>
      <c r="V22" s="12">
        <f t="shared" si="27"/>
        <v>1379536.15</v>
      </c>
      <c r="W22" s="14"/>
      <c r="X22" s="14"/>
      <c r="Y22" s="14"/>
    </row>
    <row r="23" spans="1:25" s="15" customFormat="1" ht="20.149999999999999" customHeight="1" x14ac:dyDescent="0.35">
      <c r="A23" s="9" t="s">
        <v>45</v>
      </c>
      <c r="B23" s="9" t="s">
        <v>19</v>
      </c>
      <c r="C23" s="9" t="s">
        <v>22</v>
      </c>
      <c r="D23" s="9" t="s">
        <v>23</v>
      </c>
      <c r="E23" s="11">
        <v>1976.472</v>
      </c>
      <c r="F23" s="11">
        <v>6250</v>
      </c>
      <c r="G23" s="35"/>
      <c r="H23" s="35"/>
      <c r="I23" s="35"/>
      <c r="J23" s="36"/>
      <c r="K23" s="8">
        <v>191394.04</v>
      </c>
      <c r="L23" s="8">
        <v>96.836200000000005</v>
      </c>
      <c r="M23" s="8">
        <f t="shared" si="20"/>
        <v>191394.04</v>
      </c>
      <c r="N23" s="8">
        <f t="shared" si="13"/>
        <v>96.836201069380195</v>
      </c>
      <c r="O23" s="12">
        <f t="shared" si="21"/>
        <v>8.9573485989176671</v>
      </c>
      <c r="P23" s="12">
        <f t="shared" si="22"/>
        <v>87.878852470462533</v>
      </c>
      <c r="Q23" s="12">
        <f t="shared" si="23"/>
        <v>17703.948700000001</v>
      </c>
      <c r="R23" s="12">
        <f t="shared" si="24"/>
        <v>173690.0913</v>
      </c>
      <c r="S23" s="6">
        <v>1</v>
      </c>
      <c r="T23" s="12">
        <f t="shared" si="25"/>
        <v>17703.948700000001</v>
      </c>
      <c r="U23" s="12">
        <f t="shared" si="26"/>
        <v>173690.0913</v>
      </c>
      <c r="V23" s="12">
        <f t="shared" si="27"/>
        <v>191394.04</v>
      </c>
      <c r="W23" s="14"/>
      <c r="X23" s="14"/>
      <c r="Y23" s="14"/>
    </row>
    <row r="24" spans="1:25" s="15" customFormat="1" ht="20.149999999999999" customHeight="1" x14ac:dyDescent="0.35">
      <c r="A24" s="9" t="s">
        <v>45</v>
      </c>
      <c r="B24" s="9" t="s">
        <v>19</v>
      </c>
      <c r="C24" s="9" t="s">
        <v>24</v>
      </c>
      <c r="D24" s="9" t="s">
        <v>25</v>
      </c>
      <c r="E24" s="11">
        <v>2536.7800000000002</v>
      </c>
      <c r="F24" s="11">
        <v>8090</v>
      </c>
      <c r="G24" s="35"/>
      <c r="H24" s="35"/>
      <c r="I24" s="35"/>
      <c r="J24" s="36"/>
      <c r="K24" s="8">
        <v>244477.61</v>
      </c>
      <c r="L24" s="8">
        <v>96.373199999999997</v>
      </c>
      <c r="M24" s="8">
        <f t="shared" si="20"/>
        <v>244477.61</v>
      </c>
      <c r="N24" s="8">
        <f t="shared" si="13"/>
        <v>96.373201460118722</v>
      </c>
      <c r="O24" s="12">
        <f t="shared" si="21"/>
        <v>8.9145211350609816</v>
      </c>
      <c r="P24" s="12">
        <f t="shared" si="22"/>
        <v>87.458680325057742</v>
      </c>
      <c r="Q24" s="12">
        <f t="shared" si="23"/>
        <v>22614.178925</v>
      </c>
      <c r="R24" s="12">
        <f t="shared" si="24"/>
        <v>221863.431075</v>
      </c>
      <c r="S24" s="6">
        <v>1</v>
      </c>
      <c r="T24" s="12">
        <f t="shared" si="25"/>
        <v>22614.178925</v>
      </c>
      <c r="U24" s="12">
        <f t="shared" si="26"/>
        <v>221863.431075</v>
      </c>
      <c r="V24" s="12">
        <f t="shared" si="27"/>
        <v>244477.61</v>
      </c>
      <c r="W24" s="14"/>
      <c r="X24" s="14"/>
      <c r="Y24" s="14"/>
    </row>
    <row r="25" spans="1:25" s="15" customFormat="1" ht="20.149999999999999" customHeight="1" x14ac:dyDescent="0.35">
      <c r="A25" s="9" t="s">
        <v>45</v>
      </c>
      <c r="B25" s="9" t="s">
        <v>26</v>
      </c>
      <c r="C25" s="9" t="s">
        <v>27</v>
      </c>
      <c r="D25" s="9" t="s">
        <v>28</v>
      </c>
      <c r="E25" s="11">
        <v>0</v>
      </c>
      <c r="F25" s="11">
        <v>0</v>
      </c>
      <c r="G25" s="35"/>
      <c r="H25" s="35"/>
      <c r="I25" s="35"/>
      <c r="J25" s="36"/>
      <c r="K25" s="8">
        <v>0</v>
      </c>
      <c r="L25" s="8">
        <v>0</v>
      </c>
      <c r="M25" s="8">
        <f t="shared" si="20"/>
        <v>0</v>
      </c>
      <c r="N25" s="8">
        <f t="shared" si="13"/>
        <v>0</v>
      </c>
      <c r="O25" s="12">
        <f t="shared" si="21"/>
        <v>0</v>
      </c>
      <c r="P25" s="12">
        <f t="shared" si="22"/>
        <v>0</v>
      </c>
      <c r="Q25" s="12">
        <f t="shared" si="23"/>
        <v>0</v>
      </c>
      <c r="R25" s="12">
        <f t="shared" si="24"/>
        <v>0</v>
      </c>
      <c r="S25" s="6">
        <v>1</v>
      </c>
      <c r="T25" s="12">
        <f t="shared" si="25"/>
        <v>0</v>
      </c>
      <c r="U25" s="12">
        <f t="shared" si="26"/>
        <v>0</v>
      </c>
      <c r="V25" s="12">
        <f t="shared" si="27"/>
        <v>0</v>
      </c>
      <c r="W25" s="14"/>
      <c r="X25" s="14"/>
      <c r="Y25" s="14"/>
    </row>
    <row r="26" spans="1:25" s="15" customFormat="1" ht="20.149999999999999" customHeight="1" x14ac:dyDescent="0.35">
      <c r="A26" s="9" t="s">
        <v>45</v>
      </c>
      <c r="B26" s="9" t="s">
        <v>26</v>
      </c>
      <c r="C26" s="9" t="s">
        <v>29</v>
      </c>
      <c r="D26" s="9" t="s">
        <v>30</v>
      </c>
      <c r="E26" s="11">
        <v>0</v>
      </c>
      <c r="F26" s="11">
        <v>0</v>
      </c>
      <c r="G26" s="35"/>
      <c r="H26" s="35"/>
      <c r="I26" s="35"/>
      <c r="J26" s="36"/>
      <c r="K26" s="8">
        <v>0</v>
      </c>
      <c r="L26" s="8">
        <v>0</v>
      </c>
      <c r="M26" s="8">
        <f t="shared" si="20"/>
        <v>0</v>
      </c>
      <c r="N26" s="8">
        <f t="shared" si="13"/>
        <v>0</v>
      </c>
      <c r="O26" s="12">
        <f t="shared" si="21"/>
        <v>0</v>
      </c>
      <c r="P26" s="12">
        <f t="shared" si="22"/>
        <v>0</v>
      </c>
      <c r="Q26" s="12">
        <f t="shared" si="23"/>
        <v>0</v>
      </c>
      <c r="R26" s="12">
        <f t="shared" si="24"/>
        <v>0</v>
      </c>
      <c r="S26" s="6">
        <v>1</v>
      </c>
      <c r="T26" s="12">
        <f t="shared" si="25"/>
        <v>0</v>
      </c>
      <c r="U26" s="12">
        <f t="shared" si="26"/>
        <v>0</v>
      </c>
      <c r="V26" s="12">
        <f t="shared" si="27"/>
        <v>0</v>
      </c>
      <c r="W26" s="14"/>
      <c r="X26" s="14"/>
      <c r="Y26" s="14"/>
    </row>
    <row r="27" spans="1:25" s="13" customFormat="1" ht="19.5" customHeight="1" x14ac:dyDescent="0.35">
      <c r="E27" s="20">
        <f>SUM(E18:E26)</f>
        <v>20624.678</v>
      </c>
      <c r="I27" s="17"/>
      <c r="V27" s="19">
        <f>SUM(V18:V26)</f>
        <v>1975124.9899999998</v>
      </c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5E7267-66AE-4FD9-8037-2B03050FB94E}">
  <dimension ref="A1:L5"/>
  <sheetViews>
    <sheetView showGridLines="0" workbookViewId="0">
      <selection activeCell="A4" sqref="A4"/>
    </sheetView>
  </sheetViews>
  <sheetFormatPr defaultColWidth="9.1796875" defaultRowHeight="19.5" customHeight="1" x14ac:dyDescent="0.35"/>
  <cols>
    <col min="1" max="1" width="23.7265625" style="13" customWidth="1"/>
    <col min="2" max="2" width="26.7265625" style="13" customWidth="1"/>
    <col min="3" max="3" width="30.7265625" style="13" customWidth="1"/>
    <col min="4" max="9" width="16.7265625" style="13" customWidth="1"/>
    <col min="10" max="11" width="20.7265625" style="13" customWidth="1"/>
    <col min="12" max="16384" width="9.1796875" style="13"/>
  </cols>
  <sheetData>
    <row r="1" spans="1:12" ht="49.5" customHeight="1" x14ac:dyDescent="0.35">
      <c r="C1" s="3" t="str">
        <f>RESUMO!C1</f>
        <v>Reembolso Mensal CCC - ENERGISA AC</v>
      </c>
    </row>
    <row r="2" spans="1:12" ht="30" customHeight="1" x14ac:dyDescent="0.35">
      <c r="C2" s="7" t="s">
        <v>0</v>
      </c>
      <c r="D2" s="18">
        <f>RESUMO!C2</f>
        <v>44713</v>
      </c>
      <c r="E2" s="14"/>
      <c r="F2" s="14"/>
      <c r="G2" s="14"/>
      <c r="H2" s="14"/>
      <c r="I2" s="14"/>
    </row>
    <row r="3" spans="1:12" s="15" customFormat="1" ht="60" customHeight="1" x14ac:dyDescent="0.35">
      <c r="A3" s="16" t="s">
        <v>5</v>
      </c>
      <c r="B3" s="16" t="s">
        <v>6</v>
      </c>
      <c r="C3" s="16" t="s">
        <v>7</v>
      </c>
      <c r="D3" s="16" t="s">
        <v>8</v>
      </c>
      <c r="E3" s="16" t="s">
        <v>51</v>
      </c>
      <c r="F3" s="16" t="s">
        <v>48</v>
      </c>
      <c r="G3" s="16" t="str">
        <f>"IPCA "&amp;IF(MONTH(D2)&lt;10,"0"&amp;MONTH(D2)&amp;"/"&amp;YEAR(D2),MONTH(D2)&amp;"/"&amp;YEAR(D2))</f>
        <v>IPCA 06/2022</v>
      </c>
      <c r="H3" s="16" t="s">
        <v>50</v>
      </c>
      <c r="I3" s="16" t="s">
        <v>49</v>
      </c>
      <c r="J3" s="14"/>
      <c r="K3" s="14"/>
      <c r="L3" s="14"/>
    </row>
    <row r="4" spans="1:12" s="15" customFormat="1" ht="20.149999999999999" customHeight="1" x14ac:dyDescent="0.35">
      <c r="A4" s="9" t="s">
        <v>45</v>
      </c>
      <c r="B4" s="9" t="s">
        <v>46</v>
      </c>
      <c r="C4" s="9" t="s">
        <v>47</v>
      </c>
      <c r="D4" s="32">
        <v>13.207000000000001</v>
      </c>
      <c r="E4" s="8">
        <v>6646.67</v>
      </c>
      <c r="F4" s="8">
        <v>4110.2</v>
      </c>
      <c r="G4" s="8">
        <v>6455.85</v>
      </c>
      <c r="H4" s="8">
        <f>E4*(G4/F4)</f>
        <v>10439.858040849596</v>
      </c>
      <c r="I4" s="8">
        <f>H4*D4</f>
        <v>137879.20514550063</v>
      </c>
      <c r="J4" s="14"/>
      <c r="K4" s="14"/>
      <c r="L4" s="14"/>
    </row>
    <row r="5" spans="1:12" ht="19.5" customHeight="1" x14ac:dyDescent="0.35">
      <c r="D5" s="34">
        <f>SUM(D4:D4)</f>
        <v>13.207000000000001</v>
      </c>
      <c r="G5" s="17"/>
      <c r="I5" s="33">
        <f>SUM(I4:I4)</f>
        <v>137879.20514550063</v>
      </c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FB263E-8E56-4464-AD98-848793D04201}">
  <dimension ref="A1:AF7"/>
  <sheetViews>
    <sheetView showGridLines="0" workbookViewId="0">
      <selection activeCell="I14" sqref="I14"/>
    </sheetView>
  </sheetViews>
  <sheetFormatPr defaultRowHeight="19.5" customHeight="1" x14ac:dyDescent="0.35"/>
  <cols>
    <col min="1" max="1" width="26" style="13" customWidth="1"/>
    <col min="2" max="5" width="20.7265625" style="13" customWidth="1"/>
    <col min="6" max="6" width="16.26953125" style="13" customWidth="1"/>
    <col min="7" max="8" width="19.1796875" style="13" customWidth="1"/>
    <col min="9" max="10" width="20.7265625" style="13" customWidth="1"/>
    <col min="11" max="16384" width="8.7265625" style="13"/>
  </cols>
  <sheetData>
    <row r="1" spans="1:32" ht="49.5" customHeight="1" x14ac:dyDescent="0.35">
      <c r="B1" s="3"/>
      <c r="D1" s="3" t="str">
        <f>RESUMO!C1</f>
        <v>Reembolso Mensal CCC - ENERGISA AC</v>
      </c>
    </row>
    <row r="2" spans="1:32" ht="19.5" customHeight="1" x14ac:dyDescent="0.35">
      <c r="D2" s="7" t="s">
        <v>0</v>
      </c>
      <c r="E2" s="40">
        <f>RESUMO!C2</f>
        <v>44713</v>
      </c>
      <c r="F2" s="14"/>
      <c r="G2" s="14"/>
      <c r="H2" s="14"/>
      <c r="J2" s="14"/>
      <c r="K2" s="14"/>
      <c r="L2" s="14"/>
      <c r="M2" s="14"/>
      <c r="N2" s="14"/>
    </row>
    <row r="3" spans="1:32" ht="19.5" customHeight="1" x14ac:dyDescent="0.35">
      <c r="A3" s="41"/>
      <c r="B3" s="41"/>
      <c r="C3" s="41"/>
      <c r="D3" s="41"/>
      <c r="E3" s="41"/>
      <c r="F3" s="14"/>
      <c r="G3" s="14"/>
      <c r="H3" s="14"/>
      <c r="I3" s="41"/>
      <c r="J3" s="42"/>
      <c r="K3" s="15"/>
      <c r="L3" s="15"/>
      <c r="M3" s="15"/>
      <c r="N3" s="15"/>
      <c r="O3" s="43"/>
      <c r="P3" s="43"/>
      <c r="Q3" s="44"/>
      <c r="R3" s="44"/>
      <c r="S3" s="44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</row>
    <row r="4" spans="1:32" ht="29" x14ac:dyDescent="0.35">
      <c r="A4" s="16" t="s">
        <v>5</v>
      </c>
      <c r="B4" s="16" t="s">
        <v>72</v>
      </c>
      <c r="C4" s="16" t="s">
        <v>73</v>
      </c>
      <c r="D4" s="16" t="s">
        <v>74</v>
      </c>
      <c r="E4" s="16" t="s">
        <v>75</v>
      </c>
      <c r="F4" s="16" t="s">
        <v>76</v>
      </c>
      <c r="G4" s="16" t="str">
        <f>"IPCA Atualizado "&amp;IF(MONTH(E2)&lt;10,"0"&amp;MONTH(E2)&amp;"/"&amp;YEAR(E2),MONTH(E2)&amp;"/"&amp;YEAR(E2))</f>
        <v>IPCA Atualizado 06/2022</v>
      </c>
      <c r="H4" s="16" t="s">
        <v>50</v>
      </c>
      <c r="I4" s="16" t="s">
        <v>77</v>
      </c>
      <c r="J4" s="16" t="s">
        <v>78</v>
      </c>
      <c r="K4" s="15"/>
      <c r="L4" s="15"/>
      <c r="M4" s="15"/>
      <c r="N4" s="15"/>
      <c r="O4" s="43"/>
      <c r="P4" s="43"/>
      <c r="Q4" s="44"/>
      <c r="R4" s="44"/>
      <c r="S4" s="44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1:32" ht="19.5" customHeight="1" x14ac:dyDescent="0.35">
      <c r="A5" s="9" t="s">
        <v>45</v>
      </c>
      <c r="B5" s="45" t="s">
        <v>79</v>
      </c>
      <c r="C5" s="9">
        <f>45/1000</f>
        <v>4.4999999999999998E-2</v>
      </c>
      <c r="D5" s="46">
        <v>10</v>
      </c>
      <c r="E5" s="12">
        <f>(D5*C5)</f>
        <v>0.44999999999999996</v>
      </c>
      <c r="F5" s="47">
        <v>4110.2</v>
      </c>
      <c r="G5" s="47">
        <v>6455.85</v>
      </c>
      <c r="H5" s="48">
        <f>(6646.67*G5/F5)</f>
        <v>10439.858040849595</v>
      </c>
      <c r="I5" s="12">
        <f>C5*$H$5</f>
        <v>469.79361183823175</v>
      </c>
      <c r="J5" s="48">
        <f>D5*I5</f>
        <v>4697.9361183823175</v>
      </c>
      <c r="K5" s="15"/>
      <c r="L5" s="15"/>
      <c r="M5" s="15"/>
      <c r="N5" s="15"/>
      <c r="O5" s="43"/>
      <c r="P5" s="43"/>
      <c r="Q5" s="44"/>
      <c r="R5" s="44"/>
      <c r="S5" s="44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</row>
    <row r="6" spans="1:32" ht="19.5" customHeight="1" x14ac:dyDescent="0.35">
      <c r="A6" s="9" t="s">
        <v>45</v>
      </c>
      <c r="B6" s="45" t="s">
        <v>80</v>
      </c>
      <c r="C6" s="9">
        <f>80/1000</f>
        <v>0.08</v>
      </c>
      <c r="D6" s="46">
        <v>110</v>
      </c>
      <c r="E6" s="12">
        <f t="shared" ref="E6" si="0">(D6*C6)</f>
        <v>8.8000000000000007</v>
      </c>
      <c r="F6" s="47">
        <v>4110.2</v>
      </c>
      <c r="G6" s="47">
        <v>6455.85</v>
      </c>
      <c r="H6" s="48">
        <f t="shared" ref="H6" si="1">(6646.67*G6/F6)</f>
        <v>10439.858040849595</v>
      </c>
      <c r="I6" s="12">
        <f>C6*$H$6</f>
        <v>835.18864326796756</v>
      </c>
      <c r="J6" s="48">
        <f t="shared" ref="J6" si="2">D6*I6</f>
        <v>91870.750759476432</v>
      </c>
    </row>
    <row r="7" spans="1:32" ht="19.5" customHeight="1" x14ac:dyDescent="0.35">
      <c r="C7" s="49"/>
      <c r="D7" s="49"/>
      <c r="E7" s="50">
        <f>SUBTOTAL(9,E5:E6)</f>
        <v>9.25</v>
      </c>
      <c r="I7" s="51"/>
      <c r="J7" s="50">
        <f>SUBTOTAL(9,J5:J6)</f>
        <v>96568.686877858752</v>
      </c>
    </row>
  </sheetData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RESUMO</vt:lpstr>
      <vt:lpstr>CONTRATOS CCESI</vt:lpstr>
      <vt:lpstr>MIGDI</vt:lpstr>
      <vt:lpstr>SIGFI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Monica Lucia Barbosa de Oliveira</dc:creator>
  <cp:lastModifiedBy>Mariana Zucchi</cp:lastModifiedBy>
  <dcterms:created xsi:type="dcterms:W3CDTF">2019-04-29T22:08:02Z</dcterms:created>
  <dcterms:modified xsi:type="dcterms:W3CDTF">2023-01-24T20:04:13Z</dcterms:modified>
</cp:coreProperties>
</file>