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Z:\GCSE\GERCS - CONTAS SETORIAIS\CONTA CCC\1 OPERAÇÕES\2023\12. Dezembro23\Sub-rogação\Memória de Cálculo\"/>
    </mc:Choice>
  </mc:AlternateContent>
  <xr:revisionPtr revIDLastSave="0" documentId="13_ncr:1_{515BEC44-9472-4B03-B324-01B80BEEE58D}" xr6:coauthVersionLast="47" xr6:coauthVersionMax="47" xr10:uidLastSave="{00000000-0000-0000-0000-000000000000}"/>
  <bookViews>
    <workbookView xWindow="43095" yWindow="0" windowWidth="14610" windowHeight="15585" xr2:uid="{C86141EA-5293-454E-B9ED-3F118083384E}"/>
  </bookViews>
  <sheets>
    <sheet name="Resumo" sheetId="3" r:id="rId1"/>
    <sheet name="Cristiano Rocha" sheetId="1" r:id="rId2"/>
    <sheet name="ICMS" sheetId="4" r:id="rId3"/>
    <sheet name="Preço" sheetId="5" r:id="rId4"/>
    <sheet name="IPCA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" l="1"/>
  <c r="E41" i="3"/>
  <c r="D41" i="3"/>
  <c r="M44" i="1"/>
  <c r="M46" i="1" s="1"/>
  <c r="J44" i="1"/>
  <c r="H44" i="1"/>
  <c r="O46" i="1"/>
  <c r="N46" i="1"/>
  <c r="O40" i="5"/>
  <c r="H43" i="1" s="1"/>
  <c r="J43" i="1" s="1"/>
  <c r="O43" i="1"/>
  <c r="H39" i="1"/>
  <c r="O30" i="5"/>
  <c r="O31" i="5"/>
  <c r="O32" i="5"/>
  <c r="O33" i="5"/>
  <c r="O34" i="5"/>
  <c r="H38" i="1"/>
  <c r="O38" i="5"/>
  <c r="O39" i="5"/>
  <c r="M43" i="1" l="1"/>
  <c r="D40" i="3" s="1"/>
  <c r="O42" i="1"/>
  <c r="H42" i="1" l="1"/>
  <c r="J42" i="1" s="1"/>
  <c r="M42" i="1" s="1"/>
  <c r="D39" i="3" s="1"/>
  <c r="H41" i="1" l="1"/>
  <c r="J41" i="1" s="1"/>
  <c r="M41" i="1" s="1"/>
  <c r="H40" i="1"/>
  <c r="J40" i="1" s="1"/>
  <c r="M40" i="1" s="1"/>
  <c r="D37" i="3" l="1"/>
  <c r="O40" i="1"/>
  <c r="D38" i="3"/>
  <c r="O41" i="1"/>
  <c r="I38" i="1"/>
  <c r="I37" i="1"/>
  <c r="O37" i="1" l="1"/>
  <c r="H37" i="1" l="1"/>
  <c r="J37" i="1" s="1"/>
  <c r="E32" i="4"/>
  <c r="F32" i="4" s="1"/>
  <c r="J38" i="1" l="1"/>
  <c r="M38" i="1" s="1"/>
  <c r="M37" i="1"/>
  <c r="D34" i="3" s="1"/>
  <c r="I36" i="1"/>
  <c r="H36" i="1"/>
  <c r="O35" i="1"/>
  <c r="H35" i="1"/>
  <c r="H34" i="1"/>
  <c r="O29" i="5"/>
  <c r="E31" i="4"/>
  <c r="F31" i="4" s="1"/>
  <c r="I35" i="1" s="1"/>
  <c r="E30" i="4"/>
  <c r="F30" i="4" s="1"/>
  <c r="I34" i="1" s="1"/>
  <c r="O34" i="1"/>
  <c r="D35" i="3" l="1"/>
  <c r="O38" i="1"/>
  <c r="I39" i="1"/>
  <c r="J36" i="1"/>
  <c r="M36" i="1" s="1"/>
  <c r="J35" i="1"/>
  <c r="M35" i="1" s="1"/>
  <c r="D32" i="3" s="1"/>
  <c r="J34" i="1"/>
  <c r="M34" i="1" s="1"/>
  <c r="D31" i="3" s="1"/>
  <c r="O32" i="1"/>
  <c r="O33" i="1"/>
  <c r="H32" i="1"/>
  <c r="H33" i="1"/>
  <c r="E29" i="4"/>
  <c r="F29" i="4" s="1"/>
  <c r="I33" i="1" s="1"/>
  <c r="J39" i="1" l="1"/>
  <c r="M39" i="1" s="1"/>
  <c r="O36" i="1"/>
  <c r="D33" i="3"/>
  <c r="J33" i="1"/>
  <c r="M33" i="1" s="1"/>
  <c r="E28" i="4"/>
  <c r="F28" i="4" s="1"/>
  <c r="I32" i="1" s="1"/>
  <c r="J32" i="1" s="1"/>
  <c r="M32" i="1" s="1"/>
  <c r="D29" i="3" s="1"/>
  <c r="D36" i="3" l="1"/>
  <c r="O39" i="1"/>
  <c r="D30" i="3"/>
  <c r="E27" i="4"/>
  <c r="F27" i="4" s="1"/>
  <c r="I31" i="1" s="1"/>
  <c r="O28" i="5"/>
  <c r="H31" i="1" s="1"/>
  <c r="O27" i="5"/>
  <c r="H30" i="1" s="1"/>
  <c r="E26" i="4" l="1"/>
  <c r="F26" i="4" s="1"/>
  <c r="I30" i="1" s="1"/>
  <c r="E25" i="4"/>
  <c r="F25" i="4" s="1"/>
  <c r="I29" i="1" s="1"/>
  <c r="E24" i="4" l="1"/>
  <c r="F24" i="4" s="1"/>
  <c r="I28" i="1" s="1"/>
  <c r="E23" i="4"/>
  <c r="F23" i="4" s="1"/>
  <c r="I27" i="1" s="1"/>
  <c r="E22" i="4"/>
  <c r="F22" i="4" s="1"/>
  <c r="I26" i="1" s="1"/>
  <c r="E21" i="4" l="1"/>
  <c r="F21" i="4" s="1"/>
  <c r="I25" i="1" s="1"/>
  <c r="I24" i="1"/>
  <c r="L23" i="1"/>
  <c r="E19" i="4" l="1"/>
  <c r="F19" i="4" s="1"/>
  <c r="I23" i="1" s="1"/>
  <c r="E18" i="4"/>
  <c r="F18" i="4" s="1"/>
  <c r="I22" i="1" s="1"/>
  <c r="O31" i="1" l="1"/>
  <c r="J31" i="1"/>
  <c r="M31" i="1" s="1"/>
  <c r="D28" i="3" s="1"/>
  <c r="O26" i="1"/>
  <c r="O25" i="1"/>
  <c r="O24" i="1"/>
  <c r="O23" i="1"/>
  <c r="O18" i="5"/>
  <c r="H21" i="1" s="1"/>
  <c r="J30" i="1"/>
  <c r="M30" i="1" s="1"/>
  <c r="D27" i="3" s="1"/>
  <c r="O26" i="5"/>
  <c r="H29" i="1" s="1"/>
  <c r="J29" i="1" s="1"/>
  <c r="M29" i="1" s="1"/>
  <c r="D26" i="3" s="1"/>
  <c r="O25" i="5"/>
  <c r="H28" i="1" s="1"/>
  <c r="J28" i="1" s="1"/>
  <c r="M28" i="1" s="1"/>
  <c r="D25" i="3" s="1"/>
  <c r="O24" i="5"/>
  <c r="H27" i="1" s="1"/>
  <c r="J27" i="1" s="1"/>
  <c r="M27" i="1" s="1"/>
  <c r="D24" i="3" s="1"/>
  <c r="O23" i="5"/>
  <c r="H26" i="1" s="1"/>
  <c r="J26" i="1" s="1"/>
  <c r="M26" i="1" s="1"/>
  <c r="D23" i="3" s="1"/>
  <c r="O22" i="5"/>
  <c r="H25" i="1" s="1"/>
  <c r="J25" i="1" s="1"/>
  <c r="M25" i="1" s="1"/>
  <c r="D22" i="3" s="1"/>
  <c r="O21" i="5"/>
  <c r="H24" i="1" s="1"/>
  <c r="J24" i="1" s="1"/>
  <c r="M24" i="1" s="1"/>
  <c r="D21" i="3" s="1"/>
  <c r="O20" i="5"/>
  <c r="H23" i="1" s="1"/>
  <c r="J23" i="1" s="1"/>
  <c r="M23" i="1" s="1"/>
  <c r="O19" i="5"/>
  <c r="H22" i="1" s="1"/>
  <c r="E17" i="4"/>
  <c r="F17" i="4" s="1"/>
  <c r="I21" i="1" s="1"/>
  <c r="O15" i="5"/>
  <c r="H18" i="1" s="1"/>
  <c r="O27" i="1" l="1"/>
  <c r="O29" i="1"/>
  <c r="O28" i="1"/>
  <c r="O30" i="1"/>
  <c r="D20" i="3"/>
  <c r="O22" i="1"/>
  <c r="O21" i="1"/>
  <c r="O20" i="1"/>
  <c r="O19" i="1"/>
  <c r="O18" i="1"/>
  <c r="O17" i="1"/>
  <c r="O16" i="1"/>
  <c r="O9" i="1"/>
  <c r="O17" i="5" l="1"/>
  <c r="H20" i="1" s="1"/>
  <c r="O7" i="5"/>
  <c r="H10" i="1" s="1"/>
  <c r="O8" i="5"/>
  <c r="H11" i="1" s="1"/>
  <c r="O9" i="5"/>
  <c r="H12" i="1" s="1"/>
  <c r="O10" i="5"/>
  <c r="H13" i="1" s="1"/>
  <c r="O11" i="5"/>
  <c r="H14" i="1" s="1"/>
  <c r="O12" i="5"/>
  <c r="H15" i="1" s="1"/>
  <c r="O13" i="5"/>
  <c r="H16" i="1" s="1"/>
  <c r="O14" i="5"/>
  <c r="H17" i="1" s="1"/>
  <c r="O16" i="5"/>
  <c r="H19" i="1" s="1"/>
  <c r="O6" i="5"/>
  <c r="H9" i="1" s="1"/>
  <c r="E6" i="4"/>
  <c r="F6" i="4" s="1"/>
  <c r="I10" i="1" s="1"/>
  <c r="E7" i="4"/>
  <c r="F7" i="4" s="1"/>
  <c r="I11" i="1" s="1"/>
  <c r="E8" i="4"/>
  <c r="F8" i="4" s="1"/>
  <c r="I12" i="1" s="1"/>
  <c r="E9" i="4"/>
  <c r="F9" i="4" s="1"/>
  <c r="I13" i="1" s="1"/>
  <c r="E10" i="4"/>
  <c r="F10" i="4" s="1"/>
  <c r="I14" i="1" s="1"/>
  <c r="E11" i="4"/>
  <c r="F11" i="4" s="1"/>
  <c r="I15" i="1" s="1"/>
  <c r="E12" i="4"/>
  <c r="F12" i="4" s="1"/>
  <c r="I16" i="1" s="1"/>
  <c r="E13" i="4"/>
  <c r="F13" i="4" s="1"/>
  <c r="I17" i="1" s="1"/>
  <c r="E14" i="4"/>
  <c r="F14" i="4" s="1"/>
  <c r="I18" i="1" s="1"/>
  <c r="E15" i="4"/>
  <c r="F15" i="4" s="1"/>
  <c r="I19" i="1" s="1"/>
  <c r="E16" i="4"/>
  <c r="F16" i="4" s="1"/>
  <c r="I20" i="1" s="1"/>
  <c r="E5" i="4"/>
  <c r="F5" i="4" s="1"/>
  <c r="I9" i="1" s="1"/>
  <c r="E46" i="2" l="1"/>
  <c r="E43" i="2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D50" i="1" l="1"/>
  <c r="J22" i="1"/>
  <c r="M22" i="1" s="1"/>
  <c r="J21" i="1"/>
  <c r="M21" i="1" s="1"/>
  <c r="J20" i="1"/>
  <c r="M20" i="1" s="1"/>
  <c r="D17" i="3" s="1"/>
  <c r="J19" i="1"/>
  <c r="M19" i="1" s="1"/>
  <c r="D16" i="3" s="1"/>
  <c r="J18" i="1"/>
  <c r="M18" i="1" s="1"/>
  <c r="D15" i="3" s="1"/>
  <c r="J17" i="1"/>
  <c r="M17" i="1" s="1"/>
  <c r="D14" i="3" s="1"/>
  <c r="J16" i="1"/>
  <c r="M16" i="1" s="1"/>
  <c r="D13" i="3" s="1"/>
  <c r="J15" i="1"/>
  <c r="M15" i="1" s="1"/>
  <c r="J14" i="1"/>
  <c r="M14" i="1" s="1"/>
  <c r="J13" i="1"/>
  <c r="M13" i="1" s="1"/>
  <c r="J12" i="1"/>
  <c r="M12" i="1" s="1"/>
  <c r="J11" i="1"/>
  <c r="M11" i="1" s="1"/>
  <c r="J10" i="1"/>
  <c r="M10" i="1" s="1"/>
  <c r="O10" i="1" s="1"/>
  <c r="J9" i="1"/>
  <c r="M9" i="1" s="1"/>
  <c r="D57" i="1" s="1"/>
  <c r="D6" i="3" l="1"/>
  <c r="D51" i="1"/>
  <c r="D52" i="1" s="1"/>
  <c r="D53" i="1" s="1"/>
  <c r="D54" i="1"/>
  <c r="D19" i="3"/>
  <c r="D18" i="3"/>
  <c r="D9" i="3"/>
  <c r="O12" i="1"/>
  <c r="D10" i="3"/>
  <c r="O13" i="1"/>
  <c r="D11" i="3"/>
  <c r="O14" i="1"/>
  <c r="D8" i="3"/>
  <c r="O11" i="1"/>
  <c r="D12" i="3"/>
  <c r="O15" i="1"/>
  <c r="D7" i="3"/>
  <c r="E6" i="3" l="1"/>
  <c r="E7" i="3"/>
  <c r="E30" i="3"/>
  <c r="E13" i="3"/>
  <c r="E10" i="3"/>
  <c r="E11" i="3"/>
  <c r="E12" i="3"/>
  <c r="E17" i="3"/>
  <c r="E16" i="3"/>
  <c r="E9" i="3"/>
  <c r="E18" i="3"/>
  <c r="E15" i="3"/>
  <c r="E14" i="3"/>
  <c r="E8" i="3"/>
  <c r="E28" i="3"/>
  <c r="E29" i="3"/>
  <c r="E26" i="3"/>
  <c r="E27" i="3"/>
  <c r="E19" i="3"/>
  <c r="E25" i="3"/>
  <c r="E23" i="3"/>
  <c r="E24" i="3"/>
  <c r="E22" i="3"/>
  <c r="E21" i="3"/>
  <c r="D55" i="1"/>
  <c r="D56" i="1" s="1"/>
  <c r="E36" i="3" s="1"/>
  <c r="E20" i="3"/>
  <c r="E40" i="3" l="1"/>
  <c r="E39" i="3"/>
  <c r="E38" i="3"/>
  <c r="E37" i="3"/>
  <c r="F37" i="3" s="1"/>
  <c r="E35" i="3"/>
  <c r="F36" i="3" s="1"/>
  <c r="E34" i="3"/>
  <c r="F7" i="3"/>
  <c r="E33" i="3"/>
  <c r="F8" i="3"/>
  <c r="D58" i="1"/>
  <c r="E32" i="3"/>
  <c r="F19" i="3"/>
  <c r="E31" i="3"/>
  <c r="F31" i="3" s="1"/>
  <c r="F30" i="3"/>
  <c r="F11" i="3"/>
  <c r="F12" i="3"/>
  <c r="F14" i="3"/>
  <c r="F16" i="3"/>
  <c r="F29" i="3"/>
  <c r="F9" i="3"/>
  <c r="F18" i="3"/>
  <c r="F15" i="3"/>
  <c r="F17" i="3"/>
  <c r="F13" i="3"/>
  <c r="F10" i="3"/>
  <c r="F27" i="3"/>
  <c r="F28" i="3"/>
  <c r="F23" i="3"/>
  <c r="F21" i="3"/>
  <c r="F25" i="3"/>
  <c r="F22" i="3"/>
  <c r="F24" i="3"/>
  <c r="F20" i="3"/>
  <c r="F26" i="3"/>
  <c r="F40" i="3" l="1"/>
  <c r="F39" i="3"/>
  <c r="F38" i="3"/>
  <c r="F34" i="3"/>
  <c r="F35" i="3"/>
  <c r="F33" i="3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19" authorId="0" shapeId="0" xr:uid="{30A56A7A-98AA-48B4-A39E-16BB17E8C084}">
      <text>
        <r>
          <rPr>
            <b/>
            <sz val="9"/>
            <color indexed="81"/>
            <rFont val="Segoe UI"/>
            <family val="2"/>
          </rPr>
          <t>Atualização do Saldo Remanescente a cada 12 meses após início da operação comercial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D6" authorId="0" shapeId="0" xr:uid="{84D52B35-1466-4B14-8976-D6679D49FA7F}">
      <text>
        <r>
          <rPr>
            <b/>
            <sz val="9"/>
            <color indexed="81"/>
            <rFont val="Segoe UI"/>
            <family val="2"/>
          </rPr>
          <t>Conforme informação da ANEEL.</t>
        </r>
      </text>
    </comment>
    <comment ref="F10" authorId="0" shapeId="0" xr:uid="{2A87DB79-8681-4455-A4A9-CAAFC0DEDEFB}">
      <text>
        <r>
          <rPr>
            <b/>
            <sz val="9"/>
            <color indexed="81"/>
            <rFont val="Segoe UI"/>
            <family val="2"/>
          </rPr>
          <t>Valores reprocessados em 16/09/2021</t>
        </r>
      </text>
    </comment>
    <comment ref="F11" authorId="0" shapeId="0" xr:uid="{93619BD2-DF68-49C3-A24A-C33DC86419CF}">
      <text>
        <r>
          <rPr>
            <b/>
            <sz val="9"/>
            <color indexed="81"/>
            <rFont val="Segoe UI"/>
            <family val="2"/>
          </rPr>
          <t>Valores reprocessados em 16/09/2021</t>
        </r>
      </text>
    </comment>
    <comment ref="F12" authorId="0" shapeId="0" xr:uid="{8A10EA91-6263-4D0A-90AF-894C5CB3BFE8}">
      <text>
        <r>
          <rPr>
            <b/>
            <sz val="9"/>
            <color indexed="81"/>
            <rFont val="Segoe UI"/>
            <family val="2"/>
          </rPr>
          <t>Valores reprocessados em 16/09/2021</t>
        </r>
      </text>
    </comment>
    <comment ref="F13" authorId="0" shapeId="0" xr:uid="{C26165B6-342A-4704-807E-642667EC79CE}">
      <text>
        <r>
          <rPr>
            <b/>
            <sz val="9"/>
            <color indexed="81"/>
            <rFont val="Segoe UI"/>
            <family val="2"/>
          </rPr>
          <t>Valores reprocessados em 16/09/2021</t>
        </r>
      </text>
    </comment>
    <comment ref="F14" authorId="0" shapeId="0" xr:uid="{7E0E4C43-9C58-4940-8E3B-4DD8087FB54B}">
      <text>
        <r>
          <rPr>
            <sz val="9"/>
            <color indexed="81"/>
            <rFont val="Segoe UI"/>
            <family val="2"/>
          </rPr>
          <t>Valores reprocessados em 20/08/2021</t>
        </r>
      </text>
    </comment>
    <comment ref="L23" authorId="0" shapeId="0" xr:uid="{8D1AB8C7-2861-4B76-80F4-0EB0181700EE}">
      <text>
        <r>
          <rPr>
            <b/>
            <sz val="9"/>
            <color indexed="81"/>
            <rFont val="Segoe UI"/>
            <family val="2"/>
          </rPr>
          <t>Valor constante na NT  do DSP nº 544/2022 item E - Resultados 2022.</t>
        </r>
      </text>
    </comment>
  </commentList>
</comments>
</file>

<file path=xl/sharedStrings.xml><?xml version="1.0" encoding="utf-8"?>
<sst xmlns="http://schemas.openxmlformats.org/spreadsheetml/2006/main" count="152" uniqueCount="92">
  <si>
    <t>Reembolso Mensal Sub-rogação - RAESA</t>
  </si>
  <si>
    <t>Empreendimento</t>
  </si>
  <si>
    <t>Conversão de Combustível da UTE Cristiano Rocha</t>
  </si>
  <si>
    <t>Documento Aneel</t>
  </si>
  <si>
    <t>Resolução Autorizativa nº 8.924, de 2 de junho de 2020</t>
  </si>
  <si>
    <t>http://www2.aneel.gov.br/cedoc/rea20208924ti.pdf</t>
  </si>
  <si>
    <t>Montante do benefício</t>
  </si>
  <si>
    <t>Data Base</t>
  </si>
  <si>
    <t>Margem de distribuição (R$/kg)</t>
  </si>
  <si>
    <t>Preço Médio OCA1 (R$/kg)</t>
  </si>
  <si>
    <t>Pcomb (R$/kg)</t>
  </si>
  <si>
    <t>Consumo_espec (kg/MWh)</t>
  </si>
  <si>
    <r>
      <t>Reembolso Mensal = P</t>
    </r>
    <r>
      <rPr>
        <vertAlign val="subscript"/>
        <sz val="11"/>
        <color rgb="FF002060"/>
        <rFont val="Calibri"/>
        <family val="2"/>
        <scheme val="minor"/>
      </rPr>
      <t>comb</t>
    </r>
    <r>
      <rPr>
        <sz val="11"/>
        <color rgb="FF002060"/>
        <rFont val="Calibri"/>
        <family val="2"/>
        <scheme val="minor"/>
      </rPr>
      <t xml:space="preserve"> * Consumo_espec * (1-WACC</t>
    </r>
    <r>
      <rPr>
        <vertAlign val="subscript"/>
        <sz val="11"/>
        <color rgb="FF002060"/>
        <rFont val="Calibri"/>
        <family val="2"/>
        <scheme val="minor"/>
      </rPr>
      <t>mês</t>
    </r>
    <r>
      <rPr>
        <sz val="11"/>
        <color rgb="FF002060"/>
        <rFont val="Calibri"/>
        <family val="2"/>
        <scheme val="minor"/>
      </rPr>
      <t>) * G</t>
    </r>
    <r>
      <rPr>
        <vertAlign val="subscript"/>
        <sz val="11"/>
        <color rgb="FF002060"/>
        <rFont val="Calibri"/>
        <family val="2"/>
        <scheme val="minor"/>
      </rPr>
      <t>mensal</t>
    </r>
  </si>
  <si>
    <t>HISTÓRICO - REEMBOLSO RAESA</t>
  </si>
  <si>
    <t>MONTANTE DO BENEFÍCIO</t>
  </si>
  <si>
    <t>MONTANTE ATUALIZADO</t>
  </si>
  <si>
    <t>MONTANTE APURADO - 1º ANO</t>
  </si>
  <si>
    <t>DIFERENÇA</t>
  </si>
  <si>
    <t>MONTANTE APURADO NO 2º ANO</t>
  </si>
  <si>
    <t>MONTANTE APURADO NO 3º ANO</t>
  </si>
  <si>
    <t>Operação Comercial: fev/21</t>
  </si>
  <si>
    <t>Base IPCA</t>
  </si>
  <si>
    <t>Mês Reajuste</t>
  </si>
  <si>
    <t>IPCA - IBGE</t>
  </si>
  <si>
    <t>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</si>
  <si>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</si>
  <si>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</si>
  <si>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</si>
  <si>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</si>
  <si>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</si>
  <si>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</si>
  <si>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</si>
  <si>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</si>
  <si>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</si>
  <si>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</si>
  <si>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</si>
  <si>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</si>
  <si>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ICMS (18%)</t>
  </si>
  <si>
    <t>Competência</t>
  </si>
  <si>
    <t>Média</t>
  </si>
  <si>
    <t>ICMS</t>
  </si>
  <si>
    <t>Alíquota</t>
  </si>
  <si>
    <t>Estado</t>
  </si>
  <si>
    <t>AM</t>
  </si>
  <si>
    <t>Combustível</t>
  </si>
  <si>
    <t>Óleo Diesel</t>
  </si>
  <si>
    <t>ICMS PMPF</t>
  </si>
  <si>
    <t>1º Quinzena</t>
  </si>
  <si>
    <t>2º Quinzena</t>
  </si>
  <si>
    <t>Mês</t>
  </si>
  <si>
    <t>Preço Médio</t>
  </si>
  <si>
    <t>Sem1</t>
  </si>
  <si>
    <t>Sem2</t>
  </si>
  <si>
    <t>Sem3</t>
  </si>
  <si>
    <t>Sem4</t>
  </si>
  <si>
    <t>Sem5</t>
  </si>
  <si>
    <t>Sem6</t>
  </si>
  <si>
    <t>Preço Médio OCA 1 - ANP</t>
  </si>
  <si>
    <t>Quantidade de Dias</t>
  </si>
  <si>
    <t>Fonte:</t>
  </si>
  <si>
    <t>Produto:</t>
  </si>
  <si>
    <t>Óleo Combustível A1 (R$/kg)</t>
  </si>
  <si>
    <t>Região:</t>
  </si>
  <si>
    <t>Norte</t>
  </si>
  <si>
    <t>Soma dos Preços</t>
  </si>
  <si>
    <r>
      <t xml:space="preserve">Pagamento </t>
    </r>
    <r>
      <rPr>
        <b/>
        <vertAlign val="superscript"/>
        <sz val="11"/>
        <color theme="0"/>
        <rFont val="Calibri"/>
        <family val="2"/>
        <scheme val="minor"/>
      </rPr>
      <t>1, 2</t>
    </r>
  </si>
  <si>
    <t>Reembolso de Sub-rogação em Operação Comercial</t>
  </si>
  <si>
    <t>https://www.gov.br/anp/pt-br/assuntos/precos-e-defesa-da-concorrencia/precos</t>
  </si>
  <si>
    <t>Relatório:</t>
  </si>
  <si>
    <t>Preços de produtores e importadores de derivados de petróleo</t>
  </si>
  <si>
    <t>RAESA - Rio Amazonas Energia</t>
  </si>
  <si>
    <t>Vencimento</t>
  </si>
  <si>
    <t>Fórmula de Cálculo</t>
  </si>
  <si>
    <t>Geração (MWh)</t>
  </si>
  <si>
    <r>
      <t>WACC</t>
    </r>
    <r>
      <rPr>
        <b/>
        <vertAlign val="subscript"/>
        <sz val="11"/>
        <color theme="0"/>
        <rFont val="Inter Light"/>
      </rPr>
      <t>mês</t>
    </r>
  </si>
  <si>
    <t>Valor do Benefício (R$)</t>
  </si>
  <si>
    <t>Valor do Benefício Anterior (R$)</t>
  </si>
  <si>
    <t>Saldo do Reprocessamento</t>
  </si>
  <si>
    <t>Saldo Remanescente</t>
  </si>
  <si>
    <t>Atualização Monetária</t>
  </si>
  <si>
    <t>UTE Cristiano Rocha</t>
  </si>
  <si>
    <r>
      <rPr>
        <vertAlign val="superscript"/>
        <sz val="11"/>
        <color rgb="FF002060"/>
        <rFont val="Inter Light"/>
      </rPr>
      <t>1</t>
    </r>
    <r>
      <rPr>
        <sz val="11"/>
        <color rgb="FF002060"/>
        <rFont val="Inter Light"/>
      </rPr>
      <t xml:space="preserve"> Pagamento previsto para o último dia útil do mês, estando condicionado à apresentação de certidões de adimplemento vigentes na data do pagamento.</t>
    </r>
  </si>
  <si>
    <r>
      <rPr>
        <vertAlign val="superscript"/>
        <sz val="11"/>
        <color rgb="FF002060"/>
        <rFont val="Inter Light"/>
      </rPr>
      <t>2</t>
    </r>
    <r>
      <rPr>
        <sz val="11"/>
        <color rgb="FF002060"/>
        <rFont val="Inter Light"/>
      </rPr>
      <t xml:space="preserve"> O primeiro pagamento foi realizado em julho/2021 devido à pendências na metodologia de cálculo do referido reembolso.</t>
    </r>
  </si>
  <si>
    <t>https://www.confaz.fazenda.gov.br/legislacao/atos/2023-1/ato-cotepe-icms-16-23</t>
  </si>
  <si>
    <t>* reembolso não foi solicitado pelo agente</t>
  </si>
  <si>
    <t>https://www.confaz.fazenda.gov.br/legislacao/convenios/2023/CV013_23</t>
  </si>
  <si>
    <t>Fonte</t>
  </si>
  <si>
    <t>https://www.confaz.fazenda.gov.br/legislacao/atos/2022/ato-cotepe-icms-138-22-1</t>
  </si>
  <si>
    <t>https://www.confaz.fazenda.gov.br/legislacao/atos/2023-1/ato-cotepe-icms-08-23</t>
  </si>
  <si>
    <t>Alíquota para Abr/23</t>
  </si>
  <si>
    <t>https://www.confaz.fazenda.gov.br/legislacao/convenios/2022/CV199_22</t>
  </si>
  <si>
    <t xml:space="preserve"> ICMS FIXO, VALOR ICMS X LITROS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</si>
</sst>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  <numFmt numFmtId="166" formatCode="0.0000%"/>
    <numFmt numFmtId="167" formatCode="_-* #,##0.000_-;\-* #,##0.000_-;_-* &quot;-&quot;???_-;_-@_-"/>
    <numFmt numFmtId="168" formatCode="d/m/yy\ h:mm;@"/>
    <numFmt numFmtId="169" formatCode="_-* #,##0_-;\-* #,##0_-;_-* &quot;-&quot;??_-;_-@_-"/>
    <numFmt numFmtId="170" formatCode="#,##0.000"/>
    <numFmt numFmtId="171" formatCode="0.0000"/>
    <numFmt numFmtId="172" formatCode="#,##0.0000"/>
    <numFmt numFmtId="173" formatCode="mmm/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2"/>
      <color rgb="FF002060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2060"/>
      <name val="Calibri"/>
      <family val="2"/>
      <scheme val="minor"/>
    </font>
    <font>
      <vertAlign val="subscript"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11"/>
      <color theme="0"/>
      <name val="Calibri"/>
      <family val="2"/>
      <scheme val="minor"/>
    </font>
    <font>
      <b/>
      <sz val="22"/>
      <color rgb="FF002060"/>
      <name val="Inter Light"/>
    </font>
    <font>
      <sz val="10"/>
      <color theme="1"/>
      <name val="Inter Light"/>
    </font>
    <font>
      <b/>
      <sz val="10"/>
      <color theme="0"/>
      <name val="Inter Light"/>
    </font>
    <font>
      <sz val="10"/>
      <color rgb="FF002060"/>
      <name val="Inter Light"/>
    </font>
    <font>
      <sz val="11"/>
      <color theme="1"/>
      <name val="Inter Light"/>
    </font>
    <font>
      <u/>
      <sz val="10"/>
      <color indexed="12"/>
      <name val="Inter Light"/>
    </font>
    <font>
      <sz val="10"/>
      <name val="Inter Light"/>
    </font>
    <font>
      <b/>
      <sz val="10"/>
      <color theme="1"/>
      <name val="Inter Light"/>
    </font>
    <font>
      <b/>
      <sz val="10"/>
      <name val="Inter Light"/>
    </font>
    <font>
      <b/>
      <sz val="11"/>
      <color theme="0"/>
      <name val="Inter Light"/>
    </font>
    <font>
      <b/>
      <sz val="11"/>
      <color rgb="FF002060"/>
      <name val="Inter Light"/>
    </font>
    <font>
      <b/>
      <vertAlign val="subscript"/>
      <sz val="11"/>
      <color theme="0"/>
      <name val="Inter Light"/>
    </font>
    <font>
      <sz val="11"/>
      <color rgb="FF002060"/>
      <name val="Inter Light"/>
    </font>
    <font>
      <b/>
      <sz val="18"/>
      <color theme="1"/>
      <name val="Inter"/>
    </font>
    <font>
      <b/>
      <i/>
      <sz val="18"/>
      <color rgb="FF002060"/>
      <name val="Inter Light"/>
    </font>
    <font>
      <b/>
      <sz val="11"/>
      <color theme="1"/>
      <name val="Inter"/>
    </font>
    <font>
      <b/>
      <i/>
      <sz val="12"/>
      <color rgb="FF002060"/>
      <name val="Inter Light"/>
    </font>
    <font>
      <b/>
      <sz val="18"/>
      <color theme="1"/>
      <name val="Inter Light"/>
    </font>
    <font>
      <vertAlign val="superscript"/>
      <sz val="11"/>
      <color rgb="FF002060"/>
      <name val="Inter Light"/>
    </font>
    <font>
      <sz val="10"/>
      <color rgb="FFFFFFFF"/>
      <name val="Inter Light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AF5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3"/>
    <xf numFmtId="0" fontId="3" fillId="0" borderId="0" xfId="3" applyAlignment="1">
      <alignment vertical="center"/>
    </xf>
    <xf numFmtId="0" fontId="3" fillId="0" borderId="0" xfId="3" applyAlignment="1">
      <alignment horizontal="center" vertical="center"/>
    </xf>
    <xf numFmtId="167" fontId="3" fillId="0" borderId="0" xfId="3" applyNumberFormat="1" applyAlignment="1">
      <alignment vertical="center"/>
    </xf>
    <xf numFmtId="0" fontId="6" fillId="0" borderId="0" xfId="3" applyFont="1" applyAlignment="1">
      <alignment horizontal="left" vertical="center"/>
    </xf>
    <xf numFmtId="168" fontId="3" fillId="0" borderId="0" xfId="3" applyNumberFormat="1" applyAlignment="1">
      <alignment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44" fontId="6" fillId="0" borderId="0" xfId="6" applyFont="1" applyFill="1" applyBorder="1" applyAlignment="1">
      <alignment horizontal="center" vertical="center"/>
    </xf>
    <xf numFmtId="0" fontId="3" fillId="0" borderId="0" xfId="3" applyAlignment="1">
      <alignment horizontal="center"/>
    </xf>
    <xf numFmtId="17" fontId="3" fillId="0" borderId="0" xfId="3" applyNumberFormat="1" applyAlignment="1">
      <alignment vertical="center"/>
    </xf>
    <xf numFmtId="17" fontId="3" fillId="0" borderId="0" xfId="3" applyNumberFormat="1" applyAlignment="1">
      <alignment horizontal="right"/>
    </xf>
    <xf numFmtId="44" fontId="6" fillId="0" borderId="0" xfId="6" applyFont="1" applyFill="1" applyBorder="1" applyAlignment="1">
      <alignment vertical="center"/>
    </xf>
    <xf numFmtId="17" fontId="6" fillId="0" borderId="0" xfId="6" applyNumberFormat="1" applyFont="1" applyFill="1" applyBorder="1" applyAlignment="1">
      <alignment horizontal="center" vertical="center"/>
    </xf>
    <xf numFmtId="0" fontId="1" fillId="0" borderId="0" xfId="7" applyAlignment="1">
      <alignment vertical="center"/>
    </xf>
    <xf numFmtId="0" fontId="4" fillId="0" borderId="0" xfId="7" applyFont="1" applyAlignment="1">
      <alignment horizontal="right" vertical="center"/>
    </xf>
    <xf numFmtId="17" fontId="4" fillId="0" borderId="0" xfId="7" applyNumberFormat="1" applyFont="1" applyAlignment="1">
      <alignment horizontal="right" vertical="center"/>
    </xf>
    <xf numFmtId="0" fontId="1" fillId="0" borderId="0" xfId="7"/>
    <xf numFmtId="14" fontId="1" fillId="0" borderId="0" xfId="7" applyNumberFormat="1"/>
    <xf numFmtId="43" fontId="1" fillId="0" borderId="0" xfId="7" applyNumberFormat="1"/>
    <xf numFmtId="44" fontId="0" fillId="0" borderId="0" xfId="0" applyNumberFormat="1"/>
    <xf numFmtId="0" fontId="14" fillId="0" borderId="0" xfId="0" applyFont="1"/>
    <xf numFmtId="0" fontId="15" fillId="2" borderId="1" xfId="7" applyFont="1" applyFill="1" applyBorder="1" applyAlignment="1">
      <alignment horizontal="center" vertical="center"/>
    </xf>
    <xf numFmtId="17" fontId="16" fillId="0" borderId="1" xfId="3" applyNumberFormat="1" applyFont="1" applyBorder="1" applyAlignment="1">
      <alignment horizontal="center" vertical="center"/>
    </xf>
    <xf numFmtId="169" fontId="16" fillId="0" borderId="1" xfId="5" applyNumberFormat="1" applyFont="1" applyFill="1" applyBorder="1" applyAlignment="1">
      <alignment horizontal="center" vertical="center"/>
    </xf>
    <xf numFmtId="165" fontId="16" fillId="0" borderId="1" xfId="5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2" applyFont="1" applyAlignment="1" applyProtection="1"/>
    <xf numFmtId="0" fontId="19" fillId="0" borderId="0" xfId="3" applyFont="1"/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9" fontId="19" fillId="0" borderId="0" xfId="3" applyNumberFormat="1" applyFont="1" applyAlignment="1">
      <alignment horizontal="left"/>
    </xf>
    <xf numFmtId="0" fontId="21" fillId="0" borderId="1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17" fillId="3" borderId="1" xfId="11" applyFont="1" applyFill="1" applyBorder="1" applyAlignment="1">
      <alignment horizontal="center" vertical="center"/>
    </xf>
    <xf numFmtId="43" fontId="17" fillId="4" borderId="1" xfId="1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Continuous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/>
    </xf>
    <xf numFmtId="17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70" fontId="25" fillId="3" borderId="1" xfId="0" applyNumberFormat="1" applyFont="1" applyFill="1" applyBorder="1" applyAlignment="1">
      <alignment horizontal="center" vertical="center"/>
    </xf>
    <xf numFmtId="171" fontId="25" fillId="3" borderId="1" xfId="9" applyNumberFormat="1" applyFont="1" applyFill="1" applyBorder="1" applyAlignment="1">
      <alignment horizontal="center" vertical="center"/>
    </xf>
    <xf numFmtId="172" fontId="25" fillId="3" borderId="1" xfId="0" applyNumberFormat="1" applyFont="1" applyFill="1" applyBorder="1" applyAlignment="1">
      <alignment horizontal="center" vertical="center"/>
    </xf>
    <xf numFmtId="166" fontId="25" fillId="3" borderId="1" xfId="1" applyNumberFormat="1" applyFont="1" applyFill="1" applyBorder="1" applyAlignment="1">
      <alignment horizontal="center" vertical="center"/>
    </xf>
    <xf numFmtId="44" fontId="25" fillId="3" borderId="1" xfId="9" applyFont="1" applyFill="1" applyBorder="1" applyAlignment="1">
      <alignment horizontal="center" vertical="center"/>
    </xf>
    <xf numFmtId="1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171" fontId="25" fillId="0" borderId="1" xfId="9" applyNumberFormat="1" applyFont="1" applyFill="1" applyBorder="1" applyAlignment="1">
      <alignment horizontal="center" vertical="center"/>
    </xf>
    <xf numFmtId="172" fontId="25" fillId="0" borderId="1" xfId="0" applyNumberFormat="1" applyFont="1" applyBorder="1" applyAlignment="1">
      <alignment horizontal="center" vertical="center"/>
    </xf>
    <xf numFmtId="166" fontId="25" fillId="0" borderId="1" xfId="1" applyNumberFormat="1" applyFont="1" applyFill="1" applyBorder="1" applyAlignment="1">
      <alignment horizontal="center" vertical="center"/>
    </xf>
    <xf numFmtId="44" fontId="25" fillId="0" borderId="1" xfId="9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44" fontId="22" fillId="2" borderId="1" xfId="3" applyNumberFormat="1" applyFont="1" applyFill="1" applyBorder="1" applyAlignment="1">
      <alignment vertical="center"/>
    </xf>
    <xf numFmtId="44" fontId="25" fillId="0" borderId="1" xfId="6" applyFont="1" applyFill="1" applyBorder="1" applyAlignment="1">
      <alignment vertical="center"/>
    </xf>
    <xf numFmtId="0" fontId="26" fillId="0" borderId="0" xfId="3" applyFont="1"/>
    <xf numFmtId="0" fontId="27" fillId="0" borderId="0" xfId="3" applyFont="1"/>
    <xf numFmtId="0" fontId="28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18" fillId="0" borderId="0" xfId="2" applyFont="1" applyAlignment="1" applyProtection="1">
      <alignment vertical="center"/>
    </xf>
    <xf numFmtId="44" fontId="28" fillId="0" borderId="0" xfId="3" applyNumberFormat="1" applyFont="1" applyAlignment="1">
      <alignment vertical="center"/>
    </xf>
    <xf numFmtId="173" fontId="28" fillId="0" borderId="0" xfId="3" applyNumberFormat="1" applyFont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17" fontId="16" fillId="0" borderId="1" xfId="0" applyNumberFormat="1" applyFont="1" applyBorder="1" applyAlignment="1">
      <alignment horizontal="center" vertical="center"/>
    </xf>
    <xf numFmtId="44" fontId="16" fillId="0" borderId="1" xfId="9" applyFont="1" applyBorder="1" applyAlignment="1">
      <alignment horizontal="center" vertical="center"/>
    </xf>
    <xf numFmtId="0" fontId="30" fillId="0" borderId="0" xfId="3" applyFont="1"/>
    <xf numFmtId="0" fontId="25" fillId="0" borderId="1" xfId="0" applyFont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/>
    </xf>
    <xf numFmtId="0" fontId="5" fillId="0" borderId="0" xfId="2" applyAlignment="1" applyProtection="1"/>
    <xf numFmtId="0" fontId="25" fillId="0" borderId="0" xfId="0" applyFont="1" applyAlignment="1">
      <alignment horizontal="justify" vertical="center" wrapText="1"/>
    </xf>
    <xf numFmtId="0" fontId="25" fillId="0" borderId="1" xfId="3" applyFont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165" fontId="32" fillId="6" borderId="2" xfId="5" applyNumberFormat="1" applyFont="1" applyFill="1" applyBorder="1" applyAlignment="1">
      <alignment horizontal="center" vertical="center"/>
    </xf>
    <xf numFmtId="165" fontId="32" fillId="6" borderId="3" xfId="5" applyNumberFormat="1" applyFont="1" applyFill="1" applyBorder="1" applyAlignment="1">
      <alignment horizontal="center" vertical="center"/>
    </xf>
    <xf numFmtId="165" fontId="32" fillId="6" borderId="4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1" xfId="7" applyFont="1" applyFill="1" applyBorder="1" applyAlignment="1">
      <alignment horizontal="center" vertical="center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</cellXfs>
  <cellStyles count="12">
    <cellStyle name="Hiperlink" xfId="2" builtinId="8"/>
    <cellStyle name="Moeda" xfId="9" builtinId="4"/>
    <cellStyle name="Moeda 2" xfId="6" xr:uid="{A0F0A623-1C98-4968-97A0-F10061B50AFC}"/>
    <cellStyle name="Moeda 3" xfId="4" xr:uid="{095B127E-5012-401E-8737-C5EE9E71E671}"/>
    <cellStyle name="Normal" xfId="0" builtinId="0"/>
    <cellStyle name="Normal 3 2" xfId="3" xr:uid="{E1FB00B5-33BE-46F0-BDDD-5EF4631165C6}"/>
    <cellStyle name="Normal 5" xfId="7" xr:uid="{AAB52077-7CE1-43F9-B176-EA31E35A4827}"/>
    <cellStyle name="Porcentagem" xfId="1" builtinId="5"/>
    <cellStyle name="Vírgula" xfId="11" builtinId="3"/>
    <cellStyle name="Vírgula 2" xfId="8" xr:uid="{1BDCBC81-2E92-4B5B-A1F4-62673D115F63}"/>
    <cellStyle name="Vírgula 3" xfId="5" xr:uid="{724D176C-D5F2-42C9-A408-FF0737F8C82D}"/>
    <cellStyle name="Vírgula 4" xfId="10" xr:uid="{5F932ED7-AA66-4798-BC6E-8324DBBA95DA}"/>
  </cellStyles>
  <dxfs count="0"/>
  <tableStyles count="1" defaultTableStyle="TableStyleMedium2" defaultPivotStyle="PivotStyleLight16">
    <tableStyle name="Invisible" pivot="0" table="0" count="0" xr9:uid="{76089C01-6A76-430B-95AC-438089EF3536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1</xdr:col>
      <xdr:colOff>1161415</xdr:colOff>
      <xdr:row>2</xdr:row>
      <xdr:rowOff>212521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949D9981-05B4-4239-A854-035C924A5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47650"/>
          <a:ext cx="1215390" cy="461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47</xdr:row>
      <xdr:rowOff>142876</xdr:rowOff>
    </xdr:from>
    <xdr:to>
      <xdr:col>12</xdr:col>
      <xdr:colOff>1143000</xdr:colOff>
      <xdr:row>55</xdr:row>
      <xdr:rowOff>22412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C5B6296-FD9E-437D-B73E-B1D05D0DE28B}"/>
            </a:ext>
          </a:extLst>
        </xdr:cNvPr>
        <xdr:cNvSpPr txBox="1"/>
      </xdr:nvSpPr>
      <xdr:spPr>
        <a:xfrm>
          <a:off x="7942729" y="8446435"/>
          <a:ext cx="9336742" cy="1403536"/>
        </a:xfrm>
        <a:prstGeom prst="rect">
          <a:avLst/>
        </a:prstGeom>
        <a:solidFill>
          <a:schemeClr val="bg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lang="pt-BR" sz="1100" b="0" i="0" u="none" strike="noStrike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mensal</a:t>
          </a:r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– Geração mensal de cada usina, em MWh;</a:t>
          </a:r>
        </a:p>
        <a:p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</a:t>
          </a:r>
          <a:r>
            <a:rPr lang="pt-BR" sz="1100" b="0" i="0" u="none" strike="noStrike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comb</a:t>
          </a:r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– Preço médio mensal do OCA1, que deverá ser obtido pela soma da margem de distribuição média (R$ 0,8155/kg), do ICMS (18%) e do preço médio mensal resultado da pesquisa Preços de produtores e importadores de derivados de petróleo (ANP);</a:t>
          </a:r>
        </a:p>
        <a:p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Consumo_espec – Menor consumo específico entre as três usinas (13,35 Kg/MWh), calculado previamente a partir da média dos anos de 2018 e 2019;</a:t>
          </a:r>
        </a:p>
        <a:p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WACC</a:t>
          </a:r>
          <a:r>
            <a:rPr lang="pt-BR" sz="1100" b="0" i="0" u="none" strike="noStrike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mês</a:t>
          </a:r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- taxa regulatória de remuneração de capital do segmento de geração, em base mensal.</a:t>
          </a:r>
          <a:b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b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pt-B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Reajuste do Saldo Remanescente: 12 meses após o início da operação comercial.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66675</xdr:rowOff>
    </xdr:from>
    <xdr:to>
      <xdr:col>2</xdr:col>
      <xdr:colOff>1736</xdr:colOff>
      <xdr:row>1</xdr:row>
      <xdr:rowOff>608238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B20A7F7D-55B2-4965-9232-89FB508FF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228600"/>
          <a:ext cx="1230461" cy="541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2</xdr:col>
      <xdr:colOff>628481</xdr:colOff>
      <xdr:row>1</xdr:row>
      <xdr:rowOff>597443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202B9E7E-4FB1-423B-A5A9-391AC6716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236220"/>
          <a:ext cx="1238081" cy="5491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2</xdr:col>
      <xdr:colOff>511324</xdr:colOff>
      <xdr:row>1</xdr:row>
      <xdr:rowOff>589188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48582149-9334-4215-BC16-CECB73D82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38125"/>
          <a:ext cx="1235224" cy="54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208924ti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0151-9AF6-43C3-B152-6DD274615D1A}">
  <dimension ref="B1:H46"/>
  <sheetViews>
    <sheetView showGridLines="0" tabSelected="1" zoomScaleNormal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D41" sqref="D41"/>
    </sheetView>
  </sheetViews>
  <sheetFormatPr defaultRowHeight="14.5" x14ac:dyDescent="0.35"/>
  <cols>
    <col min="1" max="1" width="2.7265625" customWidth="1"/>
    <col min="2" max="3" width="17.54296875" customWidth="1"/>
    <col min="4" max="6" width="26.7265625" customWidth="1"/>
    <col min="7" max="7" width="12.7265625" customWidth="1"/>
    <col min="8" max="8" width="14" bestFit="1" customWidth="1"/>
  </cols>
  <sheetData>
    <row r="1" spans="2:8" s="27" customFormat="1" ht="14" x14ac:dyDescent="0.3"/>
    <row r="2" spans="2:8" s="27" customFormat="1" ht="23" x14ac:dyDescent="0.5">
      <c r="C2" s="61" t="s">
        <v>66</v>
      </c>
      <c r="E2" s="71"/>
      <c r="F2" s="71"/>
    </row>
    <row r="3" spans="2:8" s="27" customFormat="1" ht="23" x14ac:dyDescent="0.5">
      <c r="C3" s="61" t="s">
        <v>70</v>
      </c>
      <c r="E3" s="71"/>
    </row>
    <row r="4" spans="2:8" s="27" customFormat="1" ht="14" x14ac:dyDescent="0.3"/>
    <row r="5" spans="2:8" s="27" customFormat="1" ht="21" customHeight="1" x14ac:dyDescent="0.3">
      <c r="B5" s="68" t="s">
        <v>38</v>
      </c>
      <c r="C5" s="68" t="s">
        <v>65</v>
      </c>
      <c r="D5" s="68" t="s">
        <v>80</v>
      </c>
      <c r="E5" s="68" t="s">
        <v>78</v>
      </c>
      <c r="F5" s="68" t="s">
        <v>79</v>
      </c>
    </row>
    <row r="6" spans="2:8" x14ac:dyDescent="0.35">
      <c r="B6" s="69">
        <v>44197</v>
      </c>
      <c r="C6" s="69">
        <v>44228</v>
      </c>
      <c r="D6" s="70">
        <f>'Cristiano Rocha'!M9</f>
        <v>0</v>
      </c>
      <c r="E6" s="70">
        <f>'Cristiano Rocha'!$D$5-SUM(D$6:D6)</f>
        <v>102137250</v>
      </c>
      <c r="F6" s="70">
        <v>0</v>
      </c>
      <c r="H6" s="21"/>
    </row>
    <row r="7" spans="2:8" x14ac:dyDescent="0.35">
      <c r="B7" s="69">
        <v>44228</v>
      </c>
      <c r="C7" s="69">
        <v>44256</v>
      </c>
      <c r="D7" s="70">
        <f>'Cristiano Rocha'!M10</f>
        <v>652043.41</v>
      </c>
      <c r="E7" s="70">
        <f>'Cristiano Rocha'!$D$5-SUM(D$6:D7)</f>
        <v>101485206.59</v>
      </c>
      <c r="F7" s="70">
        <f>ROUND(E7-E6+D7,2)</f>
        <v>0</v>
      </c>
      <c r="H7" s="21"/>
    </row>
    <row r="8" spans="2:8" x14ac:dyDescent="0.35">
      <c r="B8" s="69">
        <v>44256</v>
      </c>
      <c r="C8" s="69">
        <v>44287</v>
      </c>
      <c r="D8" s="70">
        <f>'Cristiano Rocha'!M11</f>
        <v>801013.26</v>
      </c>
      <c r="E8" s="70">
        <f>'Cristiano Rocha'!$D$5-SUM(D$6:D8)</f>
        <v>100684193.33</v>
      </c>
      <c r="F8" s="70">
        <f t="shared" ref="F8:F25" si="0">ROUND(E8-E7+D8,2)</f>
        <v>0</v>
      </c>
      <c r="H8" s="21"/>
    </row>
    <row r="9" spans="2:8" x14ac:dyDescent="0.35">
      <c r="B9" s="69">
        <v>44287</v>
      </c>
      <c r="C9" s="69">
        <v>44317</v>
      </c>
      <c r="D9" s="70">
        <f>'Cristiano Rocha'!M12</f>
        <v>952080.39</v>
      </c>
      <c r="E9" s="70">
        <f>'Cristiano Rocha'!$D$5-SUM(D$6:D9)</f>
        <v>99732112.939999998</v>
      </c>
      <c r="F9" s="70">
        <f t="shared" si="0"/>
        <v>0</v>
      </c>
      <c r="H9" s="21"/>
    </row>
    <row r="10" spans="2:8" x14ac:dyDescent="0.35">
      <c r="B10" s="69">
        <v>44317</v>
      </c>
      <c r="C10" s="69">
        <v>44348</v>
      </c>
      <c r="D10" s="70">
        <f>'Cristiano Rocha'!M13</f>
        <v>1553792.82</v>
      </c>
      <c r="E10" s="70">
        <f>'Cristiano Rocha'!$D$5-SUM(D$6:D10)</f>
        <v>98178320.120000005</v>
      </c>
      <c r="F10" s="70">
        <f t="shared" si="0"/>
        <v>0</v>
      </c>
      <c r="H10" s="21"/>
    </row>
    <row r="11" spans="2:8" x14ac:dyDescent="0.35">
      <c r="B11" s="69">
        <v>44348</v>
      </c>
      <c r="C11" s="69">
        <v>44378</v>
      </c>
      <c r="D11" s="70">
        <f>'Cristiano Rocha'!M14</f>
        <v>1945786.05</v>
      </c>
      <c r="E11" s="70">
        <f>'Cristiano Rocha'!$D$5-SUM(D$6:D11)</f>
        <v>96232534.069999993</v>
      </c>
      <c r="F11" s="70">
        <f t="shared" si="0"/>
        <v>0</v>
      </c>
      <c r="H11" s="21"/>
    </row>
    <row r="12" spans="2:8" x14ac:dyDescent="0.35">
      <c r="B12" s="69">
        <v>44378</v>
      </c>
      <c r="C12" s="69">
        <v>44409</v>
      </c>
      <c r="D12" s="70">
        <f>'Cristiano Rocha'!M15</f>
        <v>2461071.69</v>
      </c>
      <c r="E12" s="70">
        <f>'Cristiano Rocha'!$D$5-SUM(D$6:D12)</f>
        <v>93771462.379999995</v>
      </c>
      <c r="F12" s="70">
        <f t="shared" si="0"/>
        <v>0</v>
      </c>
      <c r="H12" s="21"/>
    </row>
    <row r="13" spans="2:8" x14ac:dyDescent="0.35">
      <c r="B13" s="69">
        <v>44409</v>
      </c>
      <c r="C13" s="69">
        <v>44440</v>
      </c>
      <c r="D13" s="70">
        <f>'Cristiano Rocha'!M16</f>
        <v>3031629.44</v>
      </c>
      <c r="E13" s="70">
        <f>'Cristiano Rocha'!$D$5-SUM(D$6:D13)</f>
        <v>90739832.939999998</v>
      </c>
      <c r="F13" s="70">
        <f t="shared" si="0"/>
        <v>0</v>
      </c>
      <c r="H13" s="21"/>
    </row>
    <row r="14" spans="2:8" x14ac:dyDescent="0.35">
      <c r="B14" s="69">
        <v>44440</v>
      </c>
      <c r="C14" s="69">
        <v>44470</v>
      </c>
      <c r="D14" s="70">
        <f>'Cristiano Rocha'!M17</f>
        <v>3106522.53</v>
      </c>
      <c r="E14" s="70">
        <f>'Cristiano Rocha'!$D$5-SUM(D$6:D14)</f>
        <v>87633310.409999996</v>
      </c>
      <c r="F14" s="70">
        <f t="shared" si="0"/>
        <v>0</v>
      </c>
      <c r="H14" s="21"/>
    </row>
    <row r="15" spans="2:8" x14ac:dyDescent="0.35">
      <c r="B15" s="69">
        <v>44470</v>
      </c>
      <c r="C15" s="69">
        <v>44501</v>
      </c>
      <c r="D15" s="70">
        <f>'Cristiano Rocha'!M18</f>
        <v>3481012.2</v>
      </c>
      <c r="E15" s="70">
        <f>'Cristiano Rocha'!$D$5-SUM(D$6:D15)</f>
        <v>84152298.210000008</v>
      </c>
      <c r="F15" s="70">
        <f t="shared" si="0"/>
        <v>0</v>
      </c>
      <c r="H15" s="21"/>
    </row>
    <row r="16" spans="2:8" x14ac:dyDescent="0.35">
      <c r="B16" s="69">
        <v>44501</v>
      </c>
      <c r="C16" s="69">
        <v>44531</v>
      </c>
      <c r="D16" s="70">
        <f>'Cristiano Rocha'!M19</f>
        <v>3491957.16</v>
      </c>
      <c r="E16" s="70">
        <f>'Cristiano Rocha'!$D$5-SUM(D$6:D16)</f>
        <v>80660341.049999997</v>
      </c>
      <c r="F16" s="70">
        <f t="shared" si="0"/>
        <v>0</v>
      </c>
      <c r="H16" s="21"/>
    </row>
    <row r="17" spans="2:8" x14ac:dyDescent="0.35">
      <c r="B17" s="69">
        <v>44531</v>
      </c>
      <c r="C17" s="69">
        <v>44562</v>
      </c>
      <c r="D17" s="70">
        <f>'Cristiano Rocha'!M20</f>
        <v>3443093.81</v>
      </c>
      <c r="E17" s="70">
        <f>'Cristiano Rocha'!$D$5-SUM(D$6:D17)</f>
        <v>77217247.24000001</v>
      </c>
      <c r="F17" s="70">
        <f t="shared" si="0"/>
        <v>0</v>
      </c>
      <c r="H17" s="21"/>
    </row>
    <row r="18" spans="2:8" x14ac:dyDescent="0.35">
      <c r="B18" s="69">
        <v>44562</v>
      </c>
      <c r="C18" s="69">
        <v>44593</v>
      </c>
      <c r="D18" s="70">
        <f>'Cristiano Rocha'!M21</f>
        <v>3648755.69</v>
      </c>
      <c r="E18" s="70">
        <f>'Cristiano Rocha'!$D$5-SUM(D$6:D18)</f>
        <v>73568491.549999997</v>
      </c>
      <c r="F18" s="70">
        <f t="shared" si="0"/>
        <v>0</v>
      </c>
      <c r="H18" s="21"/>
    </row>
    <row r="19" spans="2:8" x14ac:dyDescent="0.35">
      <c r="B19" s="69">
        <v>44593</v>
      </c>
      <c r="C19" s="69">
        <v>44621</v>
      </c>
      <c r="D19" s="70">
        <f>'Cristiano Rocha'!M22</f>
        <v>3508295.4</v>
      </c>
      <c r="E19" s="70">
        <f>'Cristiano Rocha'!$D$5-SUM(D$6:D19)+'Cristiano Rocha'!$D$53-'Cristiano Rocha'!$D$52</f>
        <v>81714479.010000005</v>
      </c>
      <c r="F19" s="70">
        <f t="shared" si="0"/>
        <v>11654282.859999999</v>
      </c>
      <c r="H19" s="21"/>
    </row>
    <row r="20" spans="2:8" x14ac:dyDescent="0.35">
      <c r="B20" s="69">
        <v>44621</v>
      </c>
      <c r="C20" s="69">
        <v>44652</v>
      </c>
      <c r="D20" s="70">
        <f>'Cristiano Rocha'!M23</f>
        <v>4205512.7699999996</v>
      </c>
      <c r="E20" s="70">
        <f>'Cristiano Rocha'!$D$5-SUM(D$6:D20)+'Cristiano Rocha'!$D$53-'Cristiano Rocha'!$D$52</f>
        <v>77508966.239999995</v>
      </c>
      <c r="F20" s="70">
        <f t="shared" si="0"/>
        <v>0</v>
      </c>
      <c r="H20" s="21"/>
    </row>
    <row r="21" spans="2:8" x14ac:dyDescent="0.35">
      <c r="B21" s="69">
        <v>44652</v>
      </c>
      <c r="C21" s="69">
        <v>44682</v>
      </c>
      <c r="D21" s="70">
        <f>'Cristiano Rocha'!M24</f>
        <v>3730947.22</v>
      </c>
      <c r="E21" s="70">
        <f>'Cristiano Rocha'!$D$5-SUM(D$6:D21)+'Cristiano Rocha'!$D$53-'Cristiano Rocha'!$D$52</f>
        <v>73778019.019999996</v>
      </c>
      <c r="F21" s="70">
        <f t="shared" si="0"/>
        <v>0</v>
      </c>
      <c r="H21" s="21"/>
    </row>
    <row r="22" spans="2:8" x14ac:dyDescent="0.35">
      <c r="B22" s="69">
        <v>44682</v>
      </c>
      <c r="C22" s="69">
        <v>44713</v>
      </c>
      <c r="D22" s="70">
        <f>'Cristiano Rocha'!M25</f>
        <v>3965722.72</v>
      </c>
      <c r="E22" s="70">
        <f>'Cristiano Rocha'!$D$5-SUM(D$6:D22)+'Cristiano Rocha'!$D$53-'Cristiano Rocha'!$D$52</f>
        <v>69812296.299999997</v>
      </c>
      <c r="F22" s="70">
        <f t="shared" si="0"/>
        <v>0</v>
      </c>
      <c r="H22" s="21"/>
    </row>
    <row r="23" spans="2:8" x14ac:dyDescent="0.35">
      <c r="B23" s="69">
        <v>44713</v>
      </c>
      <c r="C23" s="69">
        <v>44743</v>
      </c>
      <c r="D23" s="70">
        <f>'Cristiano Rocha'!M26</f>
        <v>3804817.5</v>
      </c>
      <c r="E23" s="70">
        <f>'Cristiano Rocha'!$D$5-SUM(D$6:D23)+'Cristiano Rocha'!$D$53-'Cristiano Rocha'!$D$52</f>
        <v>66007478.799999997</v>
      </c>
      <c r="F23" s="70">
        <f t="shared" si="0"/>
        <v>0</v>
      </c>
      <c r="H23" s="21"/>
    </row>
    <row r="24" spans="2:8" x14ac:dyDescent="0.35">
      <c r="B24" s="69">
        <v>44743</v>
      </c>
      <c r="C24" s="69">
        <v>44774</v>
      </c>
      <c r="D24" s="70">
        <f>'Cristiano Rocha'!M27</f>
        <v>4176943.71</v>
      </c>
      <c r="E24" s="70">
        <f>'Cristiano Rocha'!$D$5-SUM(D$6:D24)+'Cristiano Rocha'!$D$53-'Cristiano Rocha'!$D$52</f>
        <v>61830535.089999989</v>
      </c>
      <c r="F24" s="70">
        <f t="shared" si="0"/>
        <v>0</v>
      </c>
      <c r="H24" s="21"/>
    </row>
    <row r="25" spans="2:8" x14ac:dyDescent="0.35">
      <c r="B25" s="69">
        <v>44774</v>
      </c>
      <c r="C25" s="69">
        <v>44805</v>
      </c>
      <c r="D25" s="70">
        <f>'Cristiano Rocha'!M28</f>
        <v>3901826.61</v>
      </c>
      <c r="E25" s="70">
        <f>'Cristiano Rocha'!$D$5-SUM(D$6:D25)+'Cristiano Rocha'!$D$53-'Cristiano Rocha'!$D$52</f>
        <v>57928708.480000004</v>
      </c>
      <c r="F25" s="70">
        <f t="shared" si="0"/>
        <v>0</v>
      </c>
      <c r="H25" s="21"/>
    </row>
    <row r="26" spans="2:8" x14ac:dyDescent="0.35">
      <c r="B26" s="69">
        <v>44805</v>
      </c>
      <c r="C26" s="69">
        <v>44835</v>
      </c>
      <c r="D26" s="70">
        <f>'Cristiano Rocha'!M29</f>
        <v>3610680.49</v>
      </c>
      <c r="E26" s="70">
        <f>'Cristiano Rocha'!$D$5-SUM(D$6:D26)+'Cristiano Rocha'!$D$53-'Cristiano Rocha'!$D$52</f>
        <v>54318027.989999995</v>
      </c>
      <c r="F26" s="70">
        <f t="shared" ref="F26" si="1">ROUND(E26-E25+D26,2)</f>
        <v>0</v>
      </c>
      <c r="H26" s="21"/>
    </row>
    <row r="27" spans="2:8" x14ac:dyDescent="0.35">
      <c r="B27" s="69">
        <v>44835</v>
      </c>
      <c r="C27" s="69">
        <v>44866</v>
      </c>
      <c r="D27" s="70">
        <f>'Cristiano Rocha'!M30</f>
        <v>3751101.95</v>
      </c>
      <c r="E27" s="70">
        <f>'Cristiano Rocha'!$D$5-SUM(D$6:D27)+'Cristiano Rocha'!$D$53-'Cristiano Rocha'!$D$52</f>
        <v>50566926.040000007</v>
      </c>
      <c r="F27" s="70">
        <f t="shared" ref="F27" si="2">ROUND(E27-E26+D27,2)</f>
        <v>0</v>
      </c>
      <c r="H27" s="21"/>
    </row>
    <row r="28" spans="2:8" x14ac:dyDescent="0.35">
      <c r="B28" s="69">
        <v>44866</v>
      </c>
      <c r="C28" s="69">
        <v>44896</v>
      </c>
      <c r="D28" s="70">
        <f>'Cristiano Rocha'!M31</f>
        <v>3616203.65</v>
      </c>
      <c r="E28" s="70">
        <f>'Cristiano Rocha'!$D$5-SUM(D$6:D28)+'Cristiano Rocha'!$D$53-'Cristiano Rocha'!$D$52</f>
        <v>46950722.390000001</v>
      </c>
      <c r="F28" s="70">
        <f t="shared" ref="F28" si="3">ROUND(E28-E27+D28,2)</f>
        <v>0</v>
      </c>
      <c r="H28" s="21"/>
    </row>
    <row r="29" spans="2:8" x14ac:dyDescent="0.35">
      <c r="B29" s="69">
        <v>44896</v>
      </c>
      <c r="C29" s="69">
        <v>44927</v>
      </c>
      <c r="D29" s="70">
        <f>'Cristiano Rocha'!M32</f>
        <v>3972152.09</v>
      </c>
      <c r="E29" s="70">
        <f>'Cristiano Rocha'!$D$5-SUM(D$6:D29)+'Cristiano Rocha'!$D$53-'Cristiano Rocha'!$D$52</f>
        <v>42978570.299999997</v>
      </c>
      <c r="F29" s="70">
        <f t="shared" ref="F29:F30" si="4">ROUND(E29-E28+D29,2)</f>
        <v>0</v>
      </c>
      <c r="H29" s="21"/>
    </row>
    <row r="30" spans="2:8" x14ac:dyDescent="0.35">
      <c r="B30" s="69">
        <v>44927</v>
      </c>
      <c r="C30" s="69">
        <v>44958</v>
      </c>
      <c r="D30" s="70">
        <f>'Cristiano Rocha'!M33</f>
        <v>4597126.54</v>
      </c>
      <c r="E30" s="70">
        <f>'Cristiano Rocha'!$D$5-SUM(D$6:D30)+'Cristiano Rocha'!$D$53-'Cristiano Rocha'!$D$52</f>
        <v>38381443.75999999</v>
      </c>
      <c r="F30" s="70">
        <f t="shared" si="4"/>
        <v>0</v>
      </c>
      <c r="H30" s="21"/>
    </row>
    <row r="31" spans="2:8" x14ac:dyDescent="0.35">
      <c r="B31" s="69">
        <v>44958</v>
      </c>
      <c r="C31" s="69">
        <v>44986</v>
      </c>
      <c r="D31" s="70">
        <f>'Cristiano Rocha'!M34</f>
        <v>3672319.91</v>
      </c>
      <c r="E31" s="70">
        <f>'Cristiano Rocha'!$D$5-SUM(D$6:D31)+'Cristiano Rocha'!$D$53-'Cristiano Rocha'!$D$52+'Cristiano Rocha'!$D$56-'Cristiano Rocha'!$D$55</f>
        <v>36925459.180000007</v>
      </c>
      <c r="F31" s="70">
        <f t="shared" ref="F31" si="5">ROUND(E31-E30+D31,2)</f>
        <v>2216335.33</v>
      </c>
      <c r="H31" s="21"/>
    </row>
    <row r="32" spans="2:8" x14ac:dyDescent="0.35">
      <c r="B32" s="69">
        <v>44986</v>
      </c>
      <c r="C32" s="69">
        <v>45017</v>
      </c>
      <c r="D32" s="70">
        <f>'Cristiano Rocha'!M35</f>
        <v>4323972.01</v>
      </c>
      <c r="E32" s="70">
        <f>'Cristiano Rocha'!$D$5-SUM(D$6:D32)+'Cristiano Rocha'!$D$53-'Cristiano Rocha'!$D$52+'Cristiano Rocha'!$D$56-'Cristiano Rocha'!$D$55</f>
        <v>32601487.170000002</v>
      </c>
      <c r="F32" s="70">
        <f t="shared" ref="F32:F37" si="6">IFERROR(ROUND(E32-E31+D32,2),0)</f>
        <v>0</v>
      </c>
      <c r="H32" s="21"/>
    </row>
    <row r="33" spans="2:8" x14ac:dyDescent="0.35">
      <c r="B33" s="69">
        <v>45017</v>
      </c>
      <c r="C33" s="69">
        <v>45047</v>
      </c>
      <c r="D33" s="70">
        <f>'Cristiano Rocha'!M36</f>
        <v>4225739.03</v>
      </c>
      <c r="E33" s="70">
        <f>'Cristiano Rocha'!$D$5-SUM(D$6:D33)+'Cristiano Rocha'!$D$53-'Cristiano Rocha'!$D$52+'Cristiano Rocha'!$D$56-'Cristiano Rocha'!$D$55</f>
        <v>28375748.140000001</v>
      </c>
      <c r="F33" s="70">
        <f t="shared" si="6"/>
        <v>0</v>
      </c>
      <c r="H33" s="21"/>
    </row>
    <row r="34" spans="2:8" x14ac:dyDescent="0.35">
      <c r="B34" s="69">
        <v>45047</v>
      </c>
      <c r="C34" s="69">
        <v>45078</v>
      </c>
      <c r="D34" s="70">
        <f>'Cristiano Rocha'!M37</f>
        <v>3836968.1</v>
      </c>
      <c r="E34" s="70">
        <f>'Cristiano Rocha'!$D$5-SUM(D$6:D34)+'Cristiano Rocha'!$D$53-'Cristiano Rocha'!$D$52+'Cristiano Rocha'!$D$56-'Cristiano Rocha'!$D$55</f>
        <v>24538780.040000007</v>
      </c>
      <c r="F34" s="70">
        <f t="shared" si="6"/>
        <v>0</v>
      </c>
      <c r="H34" s="21"/>
    </row>
    <row r="35" spans="2:8" x14ac:dyDescent="0.35">
      <c r="B35" s="69">
        <v>45078</v>
      </c>
      <c r="C35" s="69">
        <v>45108</v>
      </c>
      <c r="D35" s="70">
        <f>'Cristiano Rocha'!M38</f>
        <v>3165228.61</v>
      </c>
      <c r="E35" s="70">
        <f>'Cristiano Rocha'!$D$5-SUM(D$6:D35)+'Cristiano Rocha'!$D$53-'Cristiano Rocha'!$D$52+'Cristiano Rocha'!$D$56-'Cristiano Rocha'!$D$55</f>
        <v>21373551.430000007</v>
      </c>
      <c r="F35" s="70">
        <f t="shared" si="6"/>
        <v>0</v>
      </c>
      <c r="H35" s="21"/>
    </row>
    <row r="36" spans="2:8" x14ac:dyDescent="0.35">
      <c r="B36" s="69">
        <v>45108</v>
      </c>
      <c r="C36" s="69">
        <v>45139</v>
      </c>
      <c r="D36" s="70">
        <f>'Cristiano Rocha'!M39</f>
        <v>3139929.91</v>
      </c>
      <c r="E36" s="70">
        <f>'Cristiano Rocha'!$D$5-SUM(D$6:D36)+'Cristiano Rocha'!$D$53-'Cristiano Rocha'!$D$52+'Cristiano Rocha'!$D$56-'Cristiano Rocha'!$D$55</f>
        <v>18233621.520000011</v>
      </c>
      <c r="F36" s="70">
        <f t="shared" si="6"/>
        <v>0</v>
      </c>
      <c r="H36" s="21"/>
    </row>
    <row r="37" spans="2:8" x14ac:dyDescent="0.35">
      <c r="B37" s="69">
        <v>45139</v>
      </c>
      <c r="C37" s="69">
        <v>45170</v>
      </c>
      <c r="D37" s="70">
        <f>'Cristiano Rocha'!M40</f>
        <v>3267437.57</v>
      </c>
      <c r="E37" s="70">
        <f>'Cristiano Rocha'!$D$5-SUM(D$6:D37)+'Cristiano Rocha'!$D$53-'Cristiano Rocha'!$D$52+'Cristiano Rocha'!$D$56-'Cristiano Rocha'!$D$55</f>
        <v>14966183.950000018</v>
      </c>
      <c r="F37" s="70">
        <f t="shared" si="6"/>
        <v>0</v>
      </c>
      <c r="H37" s="21"/>
    </row>
    <row r="38" spans="2:8" x14ac:dyDescent="0.35">
      <c r="B38" s="69">
        <v>45170</v>
      </c>
      <c r="C38" s="69">
        <v>45200</v>
      </c>
      <c r="D38" s="70">
        <f>'Cristiano Rocha'!M41</f>
        <v>3330582.15</v>
      </c>
      <c r="E38" s="70">
        <f>'Cristiano Rocha'!$D$5-SUM(D$6:D38)+'Cristiano Rocha'!$D$53-'Cristiano Rocha'!$D$52+'Cristiano Rocha'!$D$56-'Cristiano Rocha'!$D$55</f>
        <v>11635601.800000012</v>
      </c>
      <c r="F38" s="70">
        <f t="shared" ref="F38" si="7">IFERROR(ROUND(E38-E37+D38,2),0)</f>
        <v>0</v>
      </c>
      <c r="H38" s="21"/>
    </row>
    <row r="39" spans="2:8" x14ac:dyDescent="0.35">
      <c r="B39" s="69">
        <v>45200</v>
      </c>
      <c r="C39" s="69">
        <v>45231</v>
      </c>
      <c r="D39" s="70">
        <f>'Cristiano Rocha'!M42</f>
        <v>3645251.35</v>
      </c>
      <c r="E39" s="70">
        <f>'Cristiano Rocha'!$D$5-SUM(D$6:D39)+'Cristiano Rocha'!$D$53-'Cristiano Rocha'!$D$52+'Cristiano Rocha'!$D$56-'Cristiano Rocha'!$D$55</f>
        <v>7990350.4500000179</v>
      </c>
      <c r="F39" s="70">
        <f t="shared" ref="F39" si="8">IFERROR(ROUND(E39-E38+D39,2),0)</f>
        <v>0</v>
      </c>
      <c r="H39" s="21"/>
    </row>
    <row r="40" spans="2:8" x14ac:dyDescent="0.35">
      <c r="B40" s="69">
        <v>45231</v>
      </c>
      <c r="C40" s="69">
        <v>45261</v>
      </c>
      <c r="D40" s="70">
        <f>'Cristiano Rocha'!M43</f>
        <v>3441401.81</v>
      </c>
      <c r="E40" s="70">
        <f>'Cristiano Rocha'!$D$5-SUM(D$6:D40)+'Cristiano Rocha'!$D$53-'Cristiano Rocha'!$D$52+'Cristiano Rocha'!$D$56-'Cristiano Rocha'!$D$55</f>
        <v>4548948.6400000155</v>
      </c>
      <c r="F40" s="70">
        <f t="shared" ref="F40:F41" si="9">IFERROR(ROUND(E40-E39+D40,2),0)</f>
        <v>0</v>
      </c>
      <c r="H40" s="21"/>
    </row>
    <row r="41" spans="2:8" x14ac:dyDescent="0.35">
      <c r="B41" s="69">
        <v>45261</v>
      </c>
      <c r="C41" s="69">
        <v>45292</v>
      </c>
      <c r="D41" s="70">
        <f>'Cristiano Rocha'!M44</f>
        <v>3493447</v>
      </c>
      <c r="E41" s="70">
        <f>'Cristiano Rocha'!$D$5-SUM(D$6:D41)+'Cristiano Rocha'!$D$53-'Cristiano Rocha'!$D$52+'Cristiano Rocha'!$D$56-'Cristiano Rocha'!$D$55</f>
        <v>1055501.6400000155</v>
      </c>
      <c r="F41" s="70">
        <f t="shared" si="9"/>
        <v>0</v>
      </c>
      <c r="H41" s="21"/>
    </row>
    <row r="42" spans="2:8" x14ac:dyDescent="0.35">
      <c r="D42" s="21"/>
    </row>
    <row r="43" spans="2:8" s="27" customFormat="1" ht="30.75" customHeight="1" x14ac:dyDescent="0.3">
      <c r="B43" s="75" t="s">
        <v>81</v>
      </c>
      <c r="C43" s="75"/>
      <c r="D43" s="75"/>
      <c r="E43" s="75"/>
      <c r="F43" s="75"/>
    </row>
    <row r="44" spans="2:8" s="27" customFormat="1" ht="30.75" customHeight="1" x14ac:dyDescent="0.3">
      <c r="B44" s="75" t="s">
        <v>82</v>
      </c>
      <c r="C44" s="75"/>
      <c r="D44" s="75"/>
      <c r="E44" s="75"/>
      <c r="F44" s="75"/>
    </row>
    <row r="46" spans="2:8" x14ac:dyDescent="0.35">
      <c r="B46" s="63"/>
    </row>
  </sheetData>
  <mergeCells count="2">
    <mergeCell ref="B43:F43"/>
    <mergeCell ref="B44:F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7C3-F64E-4DDB-9C81-7505F74BEEC9}">
  <dimension ref="A1:O64"/>
  <sheetViews>
    <sheetView showGridLines="0" zoomScale="85" zoomScaleNormal="85" workbookViewId="0">
      <pane xSplit="3" ySplit="8" topLeftCell="K29" activePane="bottomRight" state="frozen"/>
      <selection activeCell="B33" sqref="B33:C33"/>
      <selection pane="topRight" activeCell="B33" sqref="B33:C33"/>
      <selection pane="bottomLeft" activeCell="B33" sqref="B33:C33"/>
      <selection pane="bottomRight" activeCell="M44" sqref="M44"/>
    </sheetView>
  </sheetViews>
  <sheetFormatPr defaultColWidth="8.7265625" defaultRowHeight="12.5" x14ac:dyDescent="0.25"/>
  <cols>
    <col min="1" max="1" width="3.7265625" style="1" customWidth="1"/>
    <col min="2" max="3" width="17.7265625" style="1" customWidth="1"/>
    <col min="4" max="4" width="26.7265625" style="1" customWidth="1"/>
    <col min="5" max="5" width="37.7265625" style="1" customWidth="1"/>
    <col min="6" max="12" width="20.7265625" style="1" customWidth="1"/>
    <col min="13" max="13" width="24.453125" style="1" bestFit="1" customWidth="1"/>
    <col min="14" max="15" width="23.54296875" style="1" customWidth="1"/>
    <col min="16" max="16384" width="8.7265625" style="1"/>
  </cols>
  <sheetData>
    <row r="1" spans="1:15" s="29" customFormat="1" ht="23" x14ac:dyDescent="0.5">
      <c r="B1" s="61" t="s">
        <v>0</v>
      </c>
      <c r="G1" s="62"/>
      <c r="H1" s="62"/>
      <c r="I1" s="62"/>
      <c r="J1" s="62"/>
      <c r="K1" s="62"/>
      <c r="L1" s="62"/>
    </row>
    <row r="2" spans="1:15" s="29" customFormat="1" ht="13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29" customFormat="1" ht="15.5" x14ac:dyDescent="0.3">
      <c r="A3" s="43"/>
      <c r="B3" s="63" t="s">
        <v>1</v>
      </c>
      <c r="D3" s="63" t="s">
        <v>2</v>
      </c>
      <c r="E3" s="64"/>
      <c r="G3" s="64"/>
      <c r="H3" s="64"/>
      <c r="I3" s="64"/>
      <c r="J3" s="64"/>
      <c r="K3" s="64"/>
      <c r="L3" s="64"/>
      <c r="M3" s="64"/>
      <c r="N3" s="64"/>
      <c r="O3" s="64"/>
    </row>
    <row r="4" spans="1:15" s="29" customFormat="1" ht="15.5" x14ac:dyDescent="0.3">
      <c r="A4" s="43"/>
      <c r="B4" s="63" t="s">
        <v>3</v>
      </c>
      <c r="D4" s="63" t="s">
        <v>4</v>
      </c>
      <c r="E4" s="64"/>
      <c r="F4" s="65" t="s">
        <v>5</v>
      </c>
      <c r="G4" s="64"/>
      <c r="H4" s="64"/>
      <c r="I4" s="64"/>
      <c r="J4" s="64"/>
      <c r="K4" s="64"/>
      <c r="L4" s="64"/>
      <c r="M4" s="64"/>
      <c r="N4" s="64"/>
      <c r="O4" s="64"/>
    </row>
    <row r="5" spans="1:15" s="29" customFormat="1" ht="15.5" x14ac:dyDescent="0.3">
      <c r="A5" s="43"/>
      <c r="B5" s="63" t="s">
        <v>6</v>
      </c>
      <c r="C5" s="64"/>
      <c r="D5" s="66">
        <v>102137250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9" customFormat="1" ht="15.5" x14ac:dyDescent="0.3">
      <c r="A6" s="43"/>
      <c r="B6" s="63" t="s">
        <v>7</v>
      </c>
      <c r="C6" s="64"/>
      <c r="D6" s="67">
        <v>43983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s="29" customFormat="1" ht="15.5" x14ac:dyDescent="0.3">
      <c r="A7" s="4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ht="26" x14ac:dyDescent="0.25">
      <c r="A8" s="3"/>
      <c r="B8" s="40" t="s">
        <v>38</v>
      </c>
      <c r="C8" s="40" t="s">
        <v>71</v>
      </c>
      <c r="D8" s="41" t="s">
        <v>72</v>
      </c>
      <c r="E8" s="41"/>
      <c r="F8" s="42" t="s">
        <v>73</v>
      </c>
      <c r="G8" s="40" t="s">
        <v>8</v>
      </c>
      <c r="H8" s="40" t="s">
        <v>9</v>
      </c>
      <c r="I8" s="40" t="s">
        <v>37</v>
      </c>
      <c r="J8" s="40" t="s">
        <v>10</v>
      </c>
      <c r="K8" s="40" t="s">
        <v>11</v>
      </c>
      <c r="L8" s="40" t="s">
        <v>74</v>
      </c>
      <c r="M8" s="40" t="s">
        <v>75</v>
      </c>
      <c r="N8" s="40" t="s">
        <v>76</v>
      </c>
      <c r="O8" s="40" t="s">
        <v>77</v>
      </c>
    </row>
    <row r="9" spans="1:15" s="29" customFormat="1" ht="16.5" x14ac:dyDescent="0.3">
      <c r="A9" s="43"/>
      <c r="B9" s="44">
        <v>44197</v>
      </c>
      <c r="C9" s="44">
        <v>44228</v>
      </c>
      <c r="D9" s="73" t="s">
        <v>12</v>
      </c>
      <c r="E9" s="44"/>
      <c r="F9" s="46">
        <v>0</v>
      </c>
      <c r="G9" s="45">
        <v>0.8155</v>
      </c>
      <c r="H9" s="47">
        <f>Preço!O6</f>
        <v>2.4340380000000001</v>
      </c>
      <c r="I9" s="48">
        <f>ICMS!F5</f>
        <v>0.65113199999999993</v>
      </c>
      <c r="J9" s="48">
        <f>SUM(G9:I9)</f>
        <v>3.9006700000000003</v>
      </c>
      <c r="K9" s="47">
        <v>13.35</v>
      </c>
      <c r="L9" s="49">
        <f>(1+6.96%)^(1/12)-1</f>
        <v>5.6228112286857979E-3</v>
      </c>
      <c r="M9" s="50">
        <f>ROUND(J9*K9*(1-L9)*F9,2)</f>
        <v>0</v>
      </c>
      <c r="N9" s="50">
        <v>0</v>
      </c>
      <c r="O9" s="50">
        <f>IF(N9&lt;&gt;0,M9-N9,0)</f>
        <v>0</v>
      </c>
    </row>
    <row r="10" spans="1:15" s="29" customFormat="1" ht="16.5" x14ac:dyDescent="0.3">
      <c r="A10" s="43"/>
      <c r="B10" s="51">
        <v>44228</v>
      </c>
      <c r="C10" s="51">
        <v>44256</v>
      </c>
      <c r="D10" s="72" t="s">
        <v>12</v>
      </c>
      <c r="E10" s="51"/>
      <c r="F10" s="53">
        <v>11875.213</v>
      </c>
      <c r="G10" s="52">
        <v>0.8155</v>
      </c>
      <c r="H10" s="54">
        <f>Preço!O7</f>
        <v>2.6537480000000002</v>
      </c>
      <c r="I10" s="55">
        <f>ICMS!F6</f>
        <v>0.66696299999999997</v>
      </c>
      <c r="J10" s="55">
        <f t="shared" ref="J10:J22" si="0">SUM(G10:I10)</f>
        <v>4.1362110000000003</v>
      </c>
      <c r="K10" s="54">
        <v>13.35</v>
      </c>
      <c r="L10" s="56">
        <f>(1+6.96%)^(1/12)-1</f>
        <v>5.6228112286857979E-3</v>
      </c>
      <c r="M10" s="57">
        <f t="shared" ref="M10:M22" si="1">ROUND(J10*K10*(1-L10)*F10,2)</f>
        <v>652043.41</v>
      </c>
      <c r="N10" s="57">
        <v>652043.41</v>
      </c>
      <c r="O10" s="57">
        <f t="shared" ref="O10:O22" si="2">IF(N10&lt;&gt;0,M10-N10,0)</f>
        <v>0</v>
      </c>
    </row>
    <row r="11" spans="1:15" s="29" customFormat="1" ht="16.5" x14ac:dyDescent="0.3">
      <c r="A11" s="43"/>
      <c r="B11" s="51">
        <v>44256</v>
      </c>
      <c r="C11" s="51">
        <v>44287</v>
      </c>
      <c r="D11" s="72" t="s">
        <v>12</v>
      </c>
      <c r="E11" s="51"/>
      <c r="F11" s="53">
        <v>13522.817999999999</v>
      </c>
      <c r="G11" s="52">
        <v>0.8155</v>
      </c>
      <c r="H11" s="54">
        <f>Preço!O8</f>
        <v>2.9106390000000002</v>
      </c>
      <c r="I11" s="55">
        <f>ICMS!F7</f>
        <v>0.73526399999999992</v>
      </c>
      <c r="J11" s="55">
        <f t="shared" si="0"/>
        <v>4.4614030000000007</v>
      </c>
      <c r="K11" s="54">
        <v>13.35</v>
      </c>
      <c r="L11" s="56">
        <f>(1+6.7596%)^(1/12)-1</f>
        <v>5.4656651956075386E-3</v>
      </c>
      <c r="M11" s="57">
        <f t="shared" si="1"/>
        <v>801013.26</v>
      </c>
      <c r="N11" s="57">
        <v>804280.91</v>
      </c>
      <c r="O11" s="57">
        <f t="shared" si="2"/>
        <v>-3267.6500000000233</v>
      </c>
    </row>
    <row r="12" spans="1:15" s="29" customFormat="1" ht="16.5" x14ac:dyDescent="0.3">
      <c r="A12" s="43"/>
      <c r="B12" s="51">
        <v>44287</v>
      </c>
      <c r="C12" s="51">
        <v>44317</v>
      </c>
      <c r="D12" s="72" t="s">
        <v>12</v>
      </c>
      <c r="E12" s="51"/>
      <c r="F12" s="53">
        <v>15865.442999999999</v>
      </c>
      <c r="G12" s="52">
        <v>0.8155</v>
      </c>
      <c r="H12" s="54">
        <f>Preço!O9</f>
        <v>2.9294120000000001</v>
      </c>
      <c r="I12" s="55">
        <f>ICMS!F8</f>
        <v>0.77489999999999992</v>
      </c>
      <c r="J12" s="55">
        <f t="shared" si="0"/>
        <v>4.5198119999999999</v>
      </c>
      <c r="K12" s="54">
        <v>13.35</v>
      </c>
      <c r="L12" s="56">
        <f t="shared" ref="L12:L22" si="3">(1+6.7596%)^(1/12)-1</f>
        <v>5.4656651956075386E-3</v>
      </c>
      <c r="M12" s="57">
        <f t="shared" si="1"/>
        <v>952080.39</v>
      </c>
      <c r="N12" s="57">
        <v>952316.11</v>
      </c>
      <c r="O12" s="57">
        <f t="shared" si="2"/>
        <v>-235.71999999997206</v>
      </c>
    </row>
    <row r="13" spans="1:15" s="29" customFormat="1" ht="16.5" x14ac:dyDescent="0.3">
      <c r="A13" s="43"/>
      <c r="B13" s="51">
        <v>44317</v>
      </c>
      <c r="C13" s="51">
        <v>44348</v>
      </c>
      <c r="D13" s="72" t="s">
        <v>12</v>
      </c>
      <c r="E13" s="51"/>
      <c r="F13" s="53">
        <v>26656.080000000002</v>
      </c>
      <c r="G13" s="52">
        <v>0.8155</v>
      </c>
      <c r="H13" s="54">
        <f>Preço!O10</f>
        <v>2.8066659999999999</v>
      </c>
      <c r="I13" s="55">
        <f>ICMS!F9</f>
        <v>0.76815</v>
      </c>
      <c r="J13" s="55">
        <f t="shared" si="0"/>
        <v>4.3903160000000003</v>
      </c>
      <c r="K13" s="54">
        <v>13.35</v>
      </c>
      <c r="L13" s="56">
        <f t="shared" si="3"/>
        <v>5.4656651956075386E-3</v>
      </c>
      <c r="M13" s="57">
        <f t="shared" si="1"/>
        <v>1553792.82</v>
      </c>
      <c r="N13" s="57">
        <v>1553792.82</v>
      </c>
      <c r="O13" s="57">
        <f t="shared" si="2"/>
        <v>0</v>
      </c>
    </row>
    <row r="14" spans="1:15" s="29" customFormat="1" ht="16.5" x14ac:dyDescent="0.3">
      <c r="A14" s="43"/>
      <c r="B14" s="51">
        <v>44348</v>
      </c>
      <c r="C14" s="51">
        <v>44378</v>
      </c>
      <c r="D14" s="72" t="s">
        <v>12</v>
      </c>
      <c r="E14" s="51"/>
      <c r="F14" s="53">
        <v>33790.864999999998</v>
      </c>
      <c r="G14" s="52">
        <v>0.8155</v>
      </c>
      <c r="H14" s="54">
        <f>Preço!O11</f>
        <v>2.721435</v>
      </c>
      <c r="I14" s="55">
        <f>ICMS!F10</f>
        <v>0.800118</v>
      </c>
      <c r="J14" s="55">
        <f t="shared" si="0"/>
        <v>4.337053</v>
      </c>
      <c r="K14" s="54">
        <v>13.35</v>
      </c>
      <c r="L14" s="56">
        <f t="shared" si="3"/>
        <v>5.4656651956075386E-3</v>
      </c>
      <c r="M14" s="57">
        <f t="shared" si="1"/>
        <v>1945786.05</v>
      </c>
      <c r="N14" s="57">
        <v>1945786.05</v>
      </c>
      <c r="O14" s="57">
        <f t="shared" si="2"/>
        <v>0</v>
      </c>
    </row>
    <row r="15" spans="1:15" s="29" customFormat="1" ht="16.5" x14ac:dyDescent="0.3">
      <c r="A15" s="43"/>
      <c r="B15" s="51">
        <v>44378</v>
      </c>
      <c r="C15" s="51">
        <v>44409</v>
      </c>
      <c r="D15" s="72" t="s">
        <v>12</v>
      </c>
      <c r="E15" s="51"/>
      <c r="F15" s="53">
        <v>41794.847000000002</v>
      </c>
      <c r="G15" s="52">
        <v>0.8155</v>
      </c>
      <c r="H15" s="54">
        <f>Preço!O12</f>
        <v>2.8173729999999999</v>
      </c>
      <c r="I15" s="55">
        <f>ICMS!F11</f>
        <v>0.80219699999999994</v>
      </c>
      <c r="J15" s="55">
        <f t="shared" si="0"/>
        <v>4.4350699999999996</v>
      </c>
      <c r="K15" s="54">
        <v>13.35</v>
      </c>
      <c r="L15" s="56">
        <f t="shared" si="3"/>
        <v>5.4656651956075386E-3</v>
      </c>
      <c r="M15" s="57">
        <f t="shared" si="1"/>
        <v>2461071.69</v>
      </c>
      <c r="N15" s="57">
        <v>2461071.69</v>
      </c>
      <c r="O15" s="57">
        <f t="shared" si="2"/>
        <v>0</v>
      </c>
    </row>
    <row r="16" spans="1:15" s="29" customFormat="1" ht="16.5" x14ac:dyDescent="0.3">
      <c r="A16" s="43"/>
      <c r="B16" s="51">
        <v>44409</v>
      </c>
      <c r="C16" s="51">
        <v>44440</v>
      </c>
      <c r="D16" s="72" t="s">
        <v>12</v>
      </c>
      <c r="E16" s="51"/>
      <c r="F16" s="53">
        <v>49729.56</v>
      </c>
      <c r="G16" s="52">
        <v>0.8155</v>
      </c>
      <c r="H16" s="54">
        <f>Preço!O13</f>
        <v>2.9489350000000001</v>
      </c>
      <c r="I16" s="55">
        <f>ICMS!F12</f>
        <v>0.82712700000000006</v>
      </c>
      <c r="J16" s="55">
        <f t="shared" si="0"/>
        <v>4.5915620000000006</v>
      </c>
      <c r="K16" s="54">
        <v>13.35</v>
      </c>
      <c r="L16" s="56">
        <f t="shared" si="3"/>
        <v>5.4656651956075386E-3</v>
      </c>
      <c r="M16" s="57">
        <f t="shared" si="1"/>
        <v>3031629.44</v>
      </c>
      <c r="N16" s="57">
        <v>0</v>
      </c>
      <c r="O16" s="57">
        <f t="shared" si="2"/>
        <v>0</v>
      </c>
    </row>
    <row r="17" spans="1:15" s="29" customFormat="1" ht="16.5" x14ac:dyDescent="0.3">
      <c r="A17" s="43"/>
      <c r="B17" s="51">
        <v>44440</v>
      </c>
      <c r="C17" s="51">
        <v>44470</v>
      </c>
      <c r="D17" s="72" t="s">
        <v>12</v>
      </c>
      <c r="E17" s="51"/>
      <c r="F17" s="53">
        <v>48180.178</v>
      </c>
      <c r="G17" s="52">
        <v>0.8155</v>
      </c>
      <c r="H17" s="54">
        <f>Preço!O14</f>
        <v>3.208907</v>
      </c>
      <c r="I17" s="55">
        <f>ICMS!F13</f>
        <v>0.83188799999999996</v>
      </c>
      <c r="J17" s="55">
        <f t="shared" si="0"/>
        <v>4.8562950000000003</v>
      </c>
      <c r="K17" s="54">
        <v>13.35</v>
      </c>
      <c r="L17" s="56">
        <f t="shared" si="3"/>
        <v>5.4656651956075386E-3</v>
      </c>
      <c r="M17" s="57">
        <f t="shared" si="1"/>
        <v>3106522.53</v>
      </c>
      <c r="N17" s="57">
        <v>0</v>
      </c>
      <c r="O17" s="57">
        <f t="shared" si="2"/>
        <v>0</v>
      </c>
    </row>
    <row r="18" spans="1:15" s="29" customFormat="1" ht="16.5" x14ac:dyDescent="0.3">
      <c r="A18" s="43"/>
      <c r="B18" s="51">
        <v>44470</v>
      </c>
      <c r="C18" s="51">
        <v>44501</v>
      </c>
      <c r="D18" s="72" t="s">
        <v>12</v>
      </c>
      <c r="E18" s="51"/>
      <c r="F18" s="53">
        <v>49789.478999999999</v>
      </c>
      <c r="G18" s="52">
        <v>0.8155</v>
      </c>
      <c r="H18" s="54">
        <f>Preço!O15</f>
        <v>3.5936750000000002</v>
      </c>
      <c r="I18" s="55">
        <f>ICMS!F14</f>
        <v>0.85665599999999997</v>
      </c>
      <c r="J18" s="55">
        <f t="shared" si="0"/>
        <v>5.2658310000000004</v>
      </c>
      <c r="K18" s="54">
        <v>13.35</v>
      </c>
      <c r="L18" s="56">
        <f t="shared" si="3"/>
        <v>5.4656651956075386E-3</v>
      </c>
      <c r="M18" s="57">
        <f t="shared" si="1"/>
        <v>3481012.2</v>
      </c>
      <c r="N18" s="57">
        <v>0</v>
      </c>
      <c r="O18" s="57">
        <f t="shared" si="2"/>
        <v>0</v>
      </c>
    </row>
    <row r="19" spans="1:15" s="29" customFormat="1" ht="16.5" x14ac:dyDescent="0.3">
      <c r="A19" s="43"/>
      <c r="B19" s="51">
        <v>44501</v>
      </c>
      <c r="C19" s="51">
        <v>44531</v>
      </c>
      <c r="D19" s="72" t="s">
        <v>12</v>
      </c>
      <c r="E19" s="51"/>
      <c r="F19" s="53">
        <v>48014.533000000003</v>
      </c>
      <c r="G19" s="52">
        <v>0.8155</v>
      </c>
      <c r="H19" s="54">
        <f>Preço!O16</f>
        <v>3.7642669999999998</v>
      </c>
      <c r="I19" s="55">
        <f>ICMS!F15</f>
        <v>0.89789399999999997</v>
      </c>
      <c r="J19" s="55">
        <f t="shared" si="0"/>
        <v>5.4776609999999994</v>
      </c>
      <c r="K19" s="54">
        <v>13.35</v>
      </c>
      <c r="L19" s="56">
        <f t="shared" si="3"/>
        <v>5.4656651956075386E-3</v>
      </c>
      <c r="M19" s="57">
        <f t="shared" si="1"/>
        <v>3491957.16</v>
      </c>
      <c r="N19" s="57">
        <v>0</v>
      </c>
      <c r="O19" s="57">
        <f t="shared" si="2"/>
        <v>0</v>
      </c>
    </row>
    <row r="20" spans="1:15" s="29" customFormat="1" ht="16.5" x14ac:dyDescent="0.3">
      <c r="A20" s="43"/>
      <c r="B20" s="51">
        <v>44531</v>
      </c>
      <c r="C20" s="51">
        <v>44562</v>
      </c>
      <c r="D20" s="72" t="s">
        <v>12</v>
      </c>
      <c r="E20" s="51"/>
      <c r="F20" s="53">
        <v>49773.822999999997</v>
      </c>
      <c r="G20" s="52">
        <v>0.8155</v>
      </c>
      <c r="H20" s="54">
        <f>Preço!O17</f>
        <v>3.496715</v>
      </c>
      <c r="I20" s="55">
        <f>ICMS!F16</f>
        <v>0.89789399999999997</v>
      </c>
      <c r="J20" s="55">
        <f t="shared" si="0"/>
        <v>5.2101090000000001</v>
      </c>
      <c r="K20" s="54">
        <v>13.35</v>
      </c>
      <c r="L20" s="56">
        <f t="shared" si="3"/>
        <v>5.4656651956075386E-3</v>
      </c>
      <c r="M20" s="57">
        <f t="shared" si="1"/>
        <v>3443093.81</v>
      </c>
      <c r="N20" s="57">
        <v>0</v>
      </c>
      <c r="O20" s="57">
        <f t="shared" si="2"/>
        <v>0</v>
      </c>
    </row>
    <row r="21" spans="1:15" s="29" customFormat="1" ht="16.5" x14ac:dyDescent="0.3">
      <c r="A21" s="43"/>
      <c r="B21" s="51">
        <v>44562</v>
      </c>
      <c r="C21" s="51">
        <v>44593</v>
      </c>
      <c r="D21" s="72" t="s">
        <v>12</v>
      </c>
      <c r="E21" s="51"/>
      <c r="F21" s="53">
        <v>49729.498</v>
      </c>
      <c r="G21" s="52">
        <v>0.8155</v>
      </c>
      <c r="H21" s="54">
        <f>Preço!O18</f>
        <v>3.8128449999999998</v>
      </c>
      <c r="I21" s="55">
        <f>ICMS!F17</f>
        <v>0.89789399999999997</v>
      </c>
      <c r="J21" s="55">
        <f t="shared" si="0"/>
        <v>5.5262389999999995</v>
      </c>
      <c r="K21" s="54">
        <v>13.35</v>
      </c>
      <c r="L21" s="56">
        <f t="shared" si="3"/>
        <v>5.4656651956075386E-3</v>
      </c>
      <c r="M21" s="57">
        <f t="shared" si="1"/>
        <v>3648755.69</v>
      </c>
      <c r="N21" s="57">
        <v>0</v>
      </c>
      <c r="O21" s="57">
        <f t="shared" si="2"/>
        <v>0</v>
      </c>
    </row>
    <row r="22" spans="1:15" s="29" customFormat="1" ht="16.5" x14ac:dyDescent="0.3">
      <c r="A22" s="43"/>
      <c r="B22" s="44">
        <v>44593</v>
      </c>
      <c r="C22" s="44">
        <v>44621</v>
      </c>
      <c r="D22" s="73" t="s">
        <v>12</v>
      </c>
      <c r="E22" s="44"/>
      <c r="F22" s="46">
        <v>45020.411999999997</v>
      </c>
      <c r="G22" s="45">
        <v>0.8155</v>
      </c>
      <c r="H22" s="47">
        <f>Preço!O19</f>
        <v>4.1558970000000004</v>
      </c>
      <c r="I22" s="48">
        <f>ICMS!F18</f>
        <v>0.89789399999999997</v>
      </c>
      <c r="J22" s="48">
        <f t="shared" si="0"/>
        <v>5.8692910000000005</v>
      </c>
      <c r="K22" s="47">
        <v>13.35</v>
      </c>
      <c r="L22" s="49">
        <f t="shared" si="3"/>
        <v>5.4656651956075386E-3</v>
      </c>
      <c r="M22" s="50">
        <f t="shared" si="1"/>
        <v>3508295.4</v>
      </c>
      <c r="N22" s="50">
        <v>0</v>
      </c>
      <c r="O22" s="50">
        <f t="shared" si="2"/>
        <v>0</v>
      </c>
    </row>
    <row r="23" spans="1:15" s="29" customFormat="1" ht="16.5" x14ac:dyDescent="0.3">
      <c r="A23" s="43"/>
      <c r="B23" s="44">
        <v>44621</v>
      </c>
      <c r="C23" s="44">
        <v>44652</v>
      </c>
      <c r="D23" s="73" t="s">
        <v>12</v>
      </c>
      <c r="E23" s="44"/>
      <c r="F23" s="46">
        <v>49874.839</v>
      </c>
      <c r="G23" s="45">
        <v>0.8155</v>
      </c>
      <c r="H23" s="47">
        <f>Preço!O20</f>
        <v>4.6383770000000002</v>
      </c>
      <c r="I23" s="48">
        <f>ICMS!F19</f>
        <v>0.89789399999999997</v>
      </c>
      <c r="J23" s="48">
        <f t="shared" ref="J23:J33" si="4">SUM(G23:I23)</f>
        <v>6.3517710000000003</v>
      </c>
      <c r="K23" s="47">
        <v>13.35</v>
      </c>
      <c r="L23" s="49">
        <f>(1+6.9302%)^(1/12)-1</f>
        <v>5.5994602975084629E-3</v>
      </c>
      <c r="M23" s="50">
        <f t="shared" ref="M23:M33" si="5">ROUND(J23*K23*(1-L23)*F23,2)</f>
        <v>4205512.7699999996</v>
      </c>
      <c r="N23" s="50">
        <v>0</v>
      </c>
      <c r="O23" s="50">
        <f t="shared" ref="O23:O33" si="6">IF(N23&lt;&gt;0,M23-N23,0)</f>
        <v>0</v>
      </c>
    </row>
    <row r="24" spans="1:15" s="29" customFormat="1" ht="16.5" x14ac:dyDescent="0.3">
      <c r="A24" s="43"/>
      <c r="B24" s="44">
        <v>44652</v>
      </c>
      <c r="C24" s="44">
        <v>44682</v>
      </c>
      <c r="D24" s="73" t="s">
        <v>12</v>
      </c>
      <c r="E24" s="44"/>
      <c r="F24" s="46">
        <v>48195.796999999999</v>
      </c>
      <c r="G24" s="45">
        <v>0.8155</v>
      </c>
      <c r="H24" s="47">
        <f>Preço!O21</f>
        <v>4.1179319999999997</v>
      </c>
      <c r="I24" s="48">
        <f>ICMS!F20</f>
        <v>0.89789399999999997</v>
      </c>
      <c r="J24" s="48">
        <f t="shared" si="4"/>
        <v>5.8313259999999998</v>
      </c>
      <c r="K24" s="47">
        <v>13.35</v>
      </c>
      <c r="L24" s="49">
        <v>5.5994602975084629E-3</v>
      </c>
      <c r="M24" s="50">
        <f t="shared" si="5"/>
        <v>3730947.22</v>
      </c>
      <c r="N24" s="50">
        <v>0</v>
      </c>
      <c r="O24" s="50">
        <f t="shared" si="6"/>
        <v>0</v>
      </c>
    </row>
    <row r="25" spans="1:15" s="29" customFormat="1" ht="16.5" x14ac:dyDescent="0.3">
      <c r="A25" s="43"/>
      <c r="B25" s="44">
        <v>44682</v>
      </c>
      <c r="C25" s="44">
        <v>44713</v>
      </c>
      <c r="D25" s="73" t="s">
        <v>12</v>
      </c>
      <c r="E25" s="44"/>
      <c r="F25" s="46">
        <v>49855.857000000004</v>
      </c>
      <c r="G25" s="45">
        <v>0.8155</v>
      </c>
      <c r="H25" s="47">
        <f>Preço!O22</f>
        <v>4.278492</v>
      </c>
      <c r="I25" s="48">
        <f>ICMS!F21</f>
        <v>0.89789399999999997</v>
      </c>
      <c r="J25" s="48">
        <f t="shared" si="4"/>
        <v>5.991886</v>
      </c>
      <c r="K25" s="47">
        <v>13.35</v>
      </c>
      <c r="L25" s="49">
        <v>5.5994602975084629E-3</v>
      </c>
      <c r="M25" s="50">
        <f t="shared" si="5"/>
        <v>3965722.72</v>
      </c>
      <c r="N25" s="50">
        <v>0</v>
      </c>
      <c r="O25" s="50">
        <f t="shared" si="6"/>
        <v>0</v>
      </c>
    </row>
    <row r="26" spans="1:15" s="29" customFormat="1" ht="16.5" x14ac:dyDescent="0.3">
      <c r="A26" s="43"/>
      <c r="B26" s="44">
        <v>44713</v>
      </c>
      <c r="C26" s="44">
        <v>44743</v>
      </c>
      <c r="D26" s="73" t="s">
        <v>12</v>
      </c>
      <c r="E26" s="44"/>
      <c r="F26" s="46">
        <v>45967.519</v>
      </c>
      <c r="G26" s="45">
        <v>0.8155</v>
      </c>
      <c r="H26" s="47">
        <f>Preço!O23</f>
        <v>4.5216589999999997</v>
      </c>
      <c r="I26" s="48">
        <f>ICMS!F22</f>
        <v>0.89789399999999997</v>
      </c>
      <c r="J26" s="48">
        <f t="shared" si="4"/>
        <v>6.2350529999999997</v>
      </c>
      <c r="K26" s="47">
        <v>13.35</v>
      </c>
      <c r="L26" s="49">
        <v>5.5994602975084629E-3</v>
      </c>
      <c r="M26" s="50">
        <f t="shared" si="5"/>
        <v>3804817.5</v>
      </c>
      <c r="N26" s="50">
        <v>0</v>
      </c>
      <c r="O26" s="50">
        <f t="shared" si="6"/>
        <v>0</v>
      </c>
    </row>
    <row r="27" spans="1:15" s="29" customFormat="1" ht="16.5" x14ac:dyDescent="0.3">
      <c r="A27" s="43"/>
      <c r="B27" s="44">
        <v>44743</v>
      </c>
      <c r="C27" s="44">
        <v>44774</v>
      </c>
      <c r="D27" s="73" t="s">
        <v>12</v>
      </c>
      <c r="E27" s="44"/>
      <c r="F27" s="46">
        <v>49791.114000000001</v>
      </c>
      <c r="G27" s="45">
        <v>0.8155</v>
      </c>
      <c r="H27" s="47">
        <f>Preço!O24</f>
        <v>4.605836</v>
      </c>
      <c r="I27" s="48">
        <f>ICMS!F23</f>
        <v>0.89789399999999997</v>
      </c>
      <c r="J27" s="48">
        <f t="shared" si="4"/>
        <v>6.3192300000000001</v>
      </c>
      <c r="K27" s="47">
        <v>13.35</v>
      </c>
      <c r="L27" s="49">
        <v>5.5994602975084629E-3</v>
      </c>
      <c r="M27" s="50">
        <f t="shared" si="5"/>
        <v>4176943.71</v>
      </c>
      <c r="N27" s="50">
        <v>4182036.63</v>
      </c>
      <c r="O27" s="50">
        <f t="shared" si="6"/>
        <v>-5092.9199999999255</v>
      </c>
    </row>
    <row r="28" spans="1:15" s="29" customFormat="1" ht="16.5" x14ac:dyDescent="0.3">
      <c r="A28" s="43"/>
      <c r="B28" s="44">
        <v>44774</v>
      </c>
      <c r="C28" s="44">
        <v>44805</v>
      </c>
      <c r="D28" s="73" t="s">
        <v>12</v>
      </c>
      <c r="E28" s="44"/>
      <c r="F28" s="46">
        <v>50399.741999999998</v>
      </c>
      <c r="G28" s="45">
        <v>0.8155</v>
      </c>
      <c r="H28" s="47">
        <f>Preço!O25</f>
        <v>4.1183310000000004</v>
      </c>
      <c r="I28" s="48">
        <f>ICMS!F24</f>
        <v>0.89789399999999997</v>
      </c>
      <c r="J28" s="48">
        <f t="shared" si="4"/>
        <v>5.8317250000000005</v>
      </c>
      <c r="K28" s="47">
        <v>13.35</v>
      </c>
      <c r="L28" s="49">
        <v>5.5994602975084629E-3</v>
      </c>
      <c r="M28" s="50">
        <f t="shared" si="5"/>
        <v>3901826.61</v>
      </c>
      <c r="N28" s="50">
        <v>4233156.29</v>
      </c>
      <c r="O28" s="50">
        <f t="shared" si="6"/>
        <v>-331329.68000000017</v>
      </c>
    </row>
    <row r="29" spans="1:15" s="29" customFormat="1" ht="16.5" x14ac:dyDescent="0.3">
      <c r="A29" s="43"/>
      <c r="B29" s="44">
        <v>44805</v>
      </c>
      <c r="C29" s="44">
        <v>44835</v>
      </c>
      <c r="D29" s="73" t="s">
        <v>12</v>
      </c>
      <c r="E29" s="44"/>
      <c r="F29" s="46">
        <v>48594.663</v>
      </c>
      <c r="G29" s="45">
        <v>0.8155</v>
      </c>
      <c r="H29" s="47">
        <f>Preço!O26</f>
        <v>3.8836390000000001</v>
      </c>
      <c r="I29" s="48">
        <f>ICMS!F25</f>
        <v>0.89789399999999997</v>
      </c>
      <c r="J29" s="48">
        <f t="shared" si="4"/>
        <v>5.5970329999999997</v>
      </c>
      <c r="K29" s="47">
        <v>13.35</v>
      </c>
      <c r="L29" s="49">
        <v>5.5994602975084629E-3</v>
      </c>
      <c r="M29" s="50">
        <f t="shared" si="5"/>
        <v>3610680.49</v>
      </c>
      <c r="N29" s="50">
        <v>4081544.77</v>
      </c>
      <c r="O29" s="50">
        <f t="shared" si="6"/>
        <v>-470864.2799999998</v>
      </c>
    </row>
    <row r="30" spans="1:15" s="29" customFormat="1" ht="16.5" x14ac:dyDescent="0.3">
      <c r="A30" s="43"/>
      <c r="B30" s="44">
        <v>44835</v>
      </c>
      <c r="C30" s="44">
        <v>44866</v>
      </c>
      <c r="D30" s="73" t="s">
        <v>12</v>
      </c>
      <c r="E30" s="44"/>
      <c r="F30" s="46">
        <v>49819.468999999997</v>
      </c>
      <c r="G30" s="45">
        <v>0.8155</v>
      </c>
      <c r="H30" s="47">
        <f>Preço!O27</f>
        <v>3.9583569999999999</v>
      </c>
      <c r="I30" s="48">
        <f>ICMS!F26</f>
        <v>0.89789399999999997</v>
      </c>
      <c r="J30" s="48">
        <f t="shared" si="4"/>
        <v>5.6717509999999995</v>
      </c>
      <c r="K30" s="47">
        <v>13.35</v>
      </c>
      <c r="L30" s="49">
        <v>5.5994602975084629E-3</v>
      </c>
      <c r="M30" s="50">
        <f t="shared" si="5"/>
        <v>3751101.95</v>
      </c>
      <c r="N30" s="50">
        <v>3728505.06</v>
      </c>
      <c r="O30" s="50">
        <f t="shared" si="6"/>
        <v>22596.89000000013</v>
      </c>
    </row>
    <row r="31" spans="1:15" s="29" customFormat="1" ht="16.5" x14ac:dyDescent="0.3">
      <c r="A31" s="43"/>
      <c r="B31" s="44">
        <v>44866</v>
      </c>
      <c r="C31" s="44">
        <v>44896</v>
      </c>
      <c r="D31" s="73" t="s">
        <v>12</v>
      </c>
      <c r="E31" s="44"/>
      <c r="F31" s="46">
        <v>48177.839</v>
      </c>
      <c r="G31" s="45">
        <v>0.8155</v>
      </c>
      <c r="H31" s="47">
        <f>Preço!O28</f>
        <v>3.940699</v>
      </c>
      <c r="I31" s="48">
        <f>ICMS!F27</f>
        <v>0.89789399999999997</v>
      </c>
      <c r="J31" s="48">
        <f t="shared" si="4"/>
        <v>5.6540929999999996</v>
      </c>
      <c r="K31" s="47">
        <v>13.35</v>
      </c>
      <c r="L31" s="49">
        <v>5.5994602975084629E-3</v>
      </c>
      <c r="M31" s="50">
        <f t="shared" si="5"/>
        <v>3616203.65</v>
      </c>
      <c r="N31" s="50"/>
      <c r="O31" s="50">
        <f t="shared" si="6"/>
        <v>0</v>
      </c>
    </row>
    <row r="32" spans="1:15" s="29" customFormat="1" ht="16.5" x14ac:dyDescent="0.3">
      <c r="A32" s="43"/>
      <c r="B32" s="44">
        <v>44896</v>
      </c>
      <c r="C32" s="44">
        <v>44927</v>
      </c>
      <c r="D32" s="73" t="s">
        <v>12</v>
      </c>
      <c r="E32" s="44"/>
      <c r="F32" s="46">
        <v>49794.926466999998</v>
      </c>
      <c r="G32" s="45">
        <v>0.8155</v>
      </c>
      <c r="H32" s="47">
        <f>Preço!O29</f>
        <v>4.2955500000000004</v>
      </c>
      <c r="I32" s="48">
        <f>ICMS!F28</f>
        <v>0.89789399999999997</v>
      </c>
      <c r="J32" s="48">
        <f t="shared" si="4"/>
        <v>6.0089440000000005</v>
      </c>
      <c r="K32" s="47">
        <v>13.35</v>
      </c>
      <c r="L32" s="49">
        <v>5.5994602975084629E-3</v>
      </c>
      <c r="M32" s="50">
        <f t="shared" si="5"/>
        <v>3972152.09</v>
      </c>
      <c r="N32" s="50"/>
      <c r="O32" s="50">
        <f t="shared" si="6"/>
        <v>0</v>
      </c>
    </row>
    <row r="33" spans="1:15" s="29" customFormat="1" ht="16.5" x14ac:dyDescent="0.3">
      <c r="A33" s="43"/>
      <c r="B33" s="44">
        <v>44927</v>
      </c>
      <c r="C33" s="44">
        <v>44958</v>
      </c>
      <c r="D33" s="73" t="s">
        <v>12</v>
      </c>
      <c r="E33" s="44"/>
      <c r="F33" s="46">
        <v>49800.929292000001</v>
      </c>
      <c r="G33" s="45">
        <v>0.8155</v>
      </c>
      <c r="H33" s="47">
        <f>Preço!O30</f>
        <v>5.3602489999999996</v>
      </c>
      <c r="I33" s="48">
        <f>ICMS!F29</f>
        <v>0.77779799999999999</v>
      </c>
      <c r="J33" s="48">
        <f t="shared" si="4"/>
        <v>6.9535469999999995</v>
      </c>
      <c r="K33" s="47">
        <v>13.35</v>
      </c>
      <c r="L33" s="49">
        <v>5.5994602975084629E-3</v>
      </c>
      <c r="M33" s="50">
        <f t="shared" si="5"/>
        <v>4597126.54</v>
      </c>
      <c r="N33" s="50"/>
      <c r="O33" s="50">
        <f t="shared" si="6"/>
        <v>0</v>
      </c>
    </row>
    <row r="34" spans="1:15" s="29" customFormat="1" ht="16.5" x14ac:dyDescent="0.3">
      <c r="A34" s="43"/>
      <c r="B34" s="51">
        <v>44958</v>
      </c>
      <c r="C34" s="51">
        <v>44986</v>
      </c>
      <c r="D34" s="72" t="s">
        <v>12</v>
      </c>
      <c r="E34" s="51"/>
      <c r="F34" s="53">
        <v>44966.737193000001</v>
      </c>
      <c r="G34" s="52">
        <v>0.8155</v>
      </c>
      <c r="H34" s="54">
        <f>Preço!O31</f>
        <v>4.4584289999999998</v>
      </c>
      <c r="I34" s="55">
        <f>ICMS!F30</f>
        <v>0.87793199999999993</v>
      </c>
      <c r="J34" s="55">
        <f t="shared" ref="J34" si="7">SUM(G34:I34)</f>
        <v>6.1518610000000002</v>
      </c>
      <c r="K34" s="54">
        <v>13.35</v>
      </c>
      <c r="L34" s="56">
        <v>5.5994602975084629E-3</v>
      </c>
      <c r="M34" s="57">
        <f t="shared" ref="M34:M41" si="8">ROUND(J34*K34*(1-L34)*F34,2)</f>
        <v>3672319.91</v>
      </c>
      <c r="N34" s="57"/>
      <c r="O34" s="57">
        <f t="shared" ref="O34" si="9">IF(N34&lt;&gt;0,M34-N34,0)</f>
        <v>0</v>
      </c>
    </row>
    <row r="35" spans="1:15" s="29" customFormat="1" ht="16.5" x14ac:dyDescent="0.3">
      <c r="A35" s="43"/>
      <c r="B35" s="51">
        <v>44986</v>
      </c>
      <c r="C35" s="51">
        <v>45017</v>
      </c>
      <c r="D35" s="72" t="s">
        <v>12</v>
      </c>
      <c r="E35" s="51"/>
      <c r="F35" s="53">
        <v>49805.411073000003</v>
      </c>
      <c r="G35" s="52">
        <v>0.8155</v>
      </c>
      <c r="H35" s="54">
        <f>Preço!O32</f>
        <v>4.6286449999999997</v>
      </c>
      <c r="I35" s="55">
        <f>ICMS!F31</f>
        <v>1.097334</v>
      </c>
      <c r="J35" s="55">
        <f t="shared" ref="J35:J44" si="10">SUM(G35:I35)</f>
        <v>6.5414789999999998</v>
      </c>
      <c r="K35" s="54">
        <v>13.35</v>
      </c>
      <c r="L35" s="56">
        <v>5.856383852604452E-3</v>
      </c>
      <c r="M35" s="57">
        <f t="shared" si="8"/>
        <v>4323972.01</v>
      </c>
      <c r="N35" s="57"/>
      <c r="O35" s="57">
        <f t="shared" ref="O35:O42" si="11">IF(N35&lt;&gt;0,M35-N35,0)</f>
        <v>0</v>
      </c>
    </row>
    <row r="36" spans="1:15" s="29" customFormat="1" ht="16.5" x14ac:dyDescent="0.3">
      <c r="A36" s="43"/>
      <c r="B36" s="51">
        <v>45017</v>
      </c>
      <c r="C36" s="51">
        <v>45047</v>
      </c>
      <c r="D36" s="72" t="s">
        <v>12</v>
      </c>
      <c r="E36" s="51"/>
      <c r="F36" s="53">
        <v>48258.57</v>
      </c>
      <c r="G36" s="52">
        <v>0.8155</v>
      </c>
      <c r="H36" s="54">
        <f>Preço!O33</f>
        <v>4.5345000000000004</v>
      </c>
      <c r="I36" s="55">
        <f>ICMS!F32</f>
        <v>1.2477800000000001</v>
      </c>
      <c r="J36" s="55">
        <f t="shared" si="10"/>
        <v>6.5977800000000002</v>
      </c>
      <c r="K36" s="54">
        <v>13.35</v>
      </c>
      <c r="L36" s="56">
        <v>5.856383852604452E-3</v>
      </c>
      <c r="M36" s="57">
        <f t="shared" ref="M36:M38" si="12">ROUND(J36*K36*(1-L36)*F36,2)</f>
        <v>4225739.03</v>
      </c>
      <c r="N36" s="57">
        <v>4145821.35</v>
      </c>
      <c r="O36" s="57">
        <f t="shared" si="11"/>
        <v>79917.680000000168</v>
      </c>
    </row>
    <row r="37" spans="1:15" s="29" customFormat="1" ht="16.5" x14ac:dyDescent="0.3">
      <c r="A37" s="43"/>
      <c r="B37" s="51">
        <v>45047</v>
      </c>
      <c r="C37" s="51">
        <v>45078</v>
      </c>
      <c r="D37" s="72" t="s">
        <v>12</v>
      </c>
      <c r="E37" s="51"/>
      <c r="F37" s="53">
        <v>48991.421000000002</v>
      </c>
      <c r="G37" s="52">
        <v>0.8155</v>
      </c>
      <c r="H37" s="54">
        <f>Preço!O34</f>
        <v>4.1400649999999999</v>
      </c>
      <c r="I37" s="55">
        <f>ICMS!F33</f>
        <v>0.9456</v>
      </c>
      <c r="J37" s="55">
        <f t="shared" si="10"/>
        <v>5.9011649999999998</v>
      </c>
      <c r="K37" s="54">
        <v>13.35</v>
      </c>
      <c r="L37" s="56">
        <v>5.856383852604452E-3</v>
      </c>
      <c r="M37" s="57">
        <f t="shared" si="12"/>
        <v>3836968.1</v>
      </c>
      <c r="N37" s="57"/>
      <c r="O37" s="57">
        <f t="shared" si="11"/>
        <v>0</v>
      </c>
    </row>
    <row r="38" spans="1:15" s="29" customFormat="1" ht="16.5" x14ac:dyDescent="0.3">
      <c r="A38" s="43"/>
      <c r="B38" s="51">
        <v>45078</v>
      </c>
      <c r="C38" s="51">
        <v>45108</v>
      </c>
      <c r="D38" s="72" t="s">
        <v>12</v>
      </c>
      <c r="E38" s="51"/>
      <c r="F38" s="53">
        <v>48165.936678999999</v>
      </c>
      <c r="G38" s="52">
        <v>0.8155</v>
      </c>
      <c r="H38" s="54">
        <f>Preço!O35</f>
        <v>3.1903760000000001</v>
      </c>
      <c r="I38" s="55">
        <f>ICMS!F33</f>
        <v>0.9456</v>
      </c>
      <c r="J38" s="55">
        <f t="shared" si="10"/>
        <v>4.9514759999999995</v>
      </c>
      <c r="K38" s="54">
        <v>13.35</v>
      </c>
      <c r="L38" s="56">
        <v>5.856383852604452E-3</v>
      </c>
      <c r="M38" s="57">
        <f t="shared" si="12"/>
        <v>3165228.61</v>
      </c>
      <c r="N38" s="57">
        <v>3713251.46</v>
      </c>
      <c r="O38" s="57">
        <f t="shared" si="11"/>
        <v>-548022.85000000009</v>
      </c>
    </row>
    <row r="39" spans="1:15" s="29" customFormat="1" ht="16.5" x14ac:dyDescent="0.3">
      <c r="A39" s="43"/>
      <c r="B39" s="51">
        <v>45108</v>
      </c>
      <c r="C39" s="51">
        <v>45139</v>
      </c>
      <c r="D39" s="72" t="s">
        <v>12</v>
      </c>
      <c r="E39" s="51"/>
      <c r="F39" s="53">
        <v>49803.69601</v>
      </c>
      <c r="G39" s="52">
        <v>0.8155</v>
      </c>
      <c r="H39" s="54">
        <f>Preço!O36</f>
        <v>2.9892759999999998</v>
      </c>
      <c r="I39" s="55">
        <f>ICMS!F35</f>
        <v>0.9456</v>
      </c>
      <c r="J39" s="55">
        <f t="shared" si="10"/>
        <v>4.7503760000000002</v>
      </c>
      <c r="K39" s="54">
        <v>13.35</v>
      </c>
      <c r="L39" s="56">
        <v>5.856383852604452E-3</v>
      </c>
      <c r="M39" s="57">
        <f t="shared" si="8"/>
        <v>3139929.91</v>
      </c>
      <c r="N39" s="57">
        <v>3888341.38</v>
      </c>
      <c r="O39" s="57">
        <f t="shared" ref="O39" si="13">IF(N39&lt;&gt;0,M39-N39,0)</f>
        <v>-748411.46999999974</v>
      </c>
    </row>
    <row r="40" spans="1:15" ht="16.5" x14ac:dyDescent="0.25">
      <c r="A40" s="2"/>
      <c r="B40" s="51">
        <v>45139</v>
      </c>
      <c r="C40" s="51">
        <v>45170</v>
      </c>
      <c r="D40" s="72" t="s">
        <v>12</v>
      </c>
      <c r="E40" s="51"/>
      <c r="F40" s="53">
        <v>48575.784</v>
      </c>
      <c r="G40" s="52">
        <v>0.8155</v>
      </c>
      <c r="H40" s="54">
        <f>Preço!O37</f>
        <v>3.3071389999999998</v>
      </c>
      <c r="I40" s="55">
        <v>0.9456</v>
      </c>
      <c r="J40" s="55">
        <f t="shared" si="10"/>
        <v>5.0682389999999993</v>
      </c>
      <c r="K40" s="54">
        <v>13.35</v>
      </c>
      <c r="L40" s="56">
        <v>5.856383852604452E-3</v>
      </c>
      <c r="M40" s="57">
        <f t="shared" si="8"/>
        <v>3267437.57</v>
      </c>
      <c r="N40" s="57">
        <v>3837011.86</v>
      </c>
      <c r="O40" s="57">
        <f t="shared" si="11"/>
        <v>-569574.29</v>
      </c>
    </row>
    <row r="41" spans="1:15" ht="16.5" x14ac:dyDescent="0.25">
      <c r="A41" s="2"/>
      <c r="B41" s="51">
        <v>45170</v>
      </c>
      <c r="C41" s="51">
        <v>45200</v>
      </c>
      <c r="D41" s="72" t="s">
        <v>12</v>
      </c>
      <c r="E41" s="51"/>
      <c r="F41" s="53">
        <v>48124.862999999998</v>
      </c>
      <c r="G41" s="52">
        <v>0.8155</v>
      </c>
      <c r="H41" s="54">
        <f>Preço!O38</f>
        <v>3.4534910000000001</v>
      </c>
      <c r="I41" s="55">
        <v>0.9456</v>
      </c>
      <c r="J41" s="55">
        <f t="shared" si="10"/>
        <v>5.2145909999999995</v>
      </c>
      <c r="K41" s="54">
        <v>13.35</v>
      </c>
      <c r="L41" s="56">
        <v>5.856383852604452E-3</v>
      </c>
      <c r="M41" s="57">
        <f t="shared" si="8"/>
        <v>3330582.15</v>
      </c>
      <c r="N41" s="57">
        <v>3539094.87</v>
      </c>
      <c r="O41" s="57">
        <f t="shared" si="11"/>
        <v>-208512.7200000002</v>
      </c>
    </row>
    <row r="42" spans="1:15" ht="16.5" x14ac:dyDescent="0.25">
      <c r="A42" s="2"/>
      <c r="B42" s="51">
        <v>45200</v>
      </c>
      <c r="C42" s="51">
        <v>45231</v>
      </c>
      <c r="D42" s="72" t="s">
        <v>12</v>
      </c>
      <c r="E42" s="51"/>
      <c r="F42" s="53">
        <v>49846.475130000006</v>
      </c>
      <c r="G42" s="52">
        <v>0.8155</v>
      </c>
      <c r="H42" s="54">
        <f>Preço!O39</f>
        <v>3.7490399999999999</v>
      </c>
      <c r="I42" s="55">
        <v>0.9456</v>
      </c>
      <c r="J42" s="55">
        <f t="shared" si="10"/>
        <v>5.5101399999999998</v>
      </c>
      <c r="K42" s="54">
        <v>13.35</v>
      </c>
      <c r="L42" s="56">
        <v>5.856383852604452E-3</v>
      </c>
      <c r="M42" s="57">
        <f t="shared" ref="M42" si="14">ROUND(J42*K42*(1-L42)*F42,2)</f>
        <v>3645251.35</v>
      </c>
      <c r="N42" s="57"/>
      <c r="O42" s="57">
        <f t="shared" si="11"/>
        <v>0</v>
      </c>
    </row>
    <row r="43" spans="1:15" ht="16.5" x14ac:dyDescent="0.25">
      <c r="A43" s="2"/>
      <c r="B43" s="51">
        <v>45231</v>
      </c>
      <c r="C43" s="51">
        <v>45261</v>
      </c>
      <c r="D43" s="72" t="s">
        <v>12</v>
      </c>
      <c r="E43" s="51"/>
      <c r="F43" s="53">
        <v>48168.631999999998</v>
      </c>
      <c r="G43" s="52">
        <v>0.8155</v>
      </c>
      <c r="H43" s="54">
        <f>Preço!O40</f>
        <v>3.6221019999999999</v>
      </c>
      <c r="I43" s="55">
        <v>0.9456</v>
      </c>
      <c r="J43" s="55">
        <f t="shared" si="10"/>
        <v>5.3832019999999998</v>
      </c>
      <c r="K43" s="54">
        <v>13.35</v>
      </c>
      <c r="L43" s="56">
        <v>5.856383852604452E-3</v>
      </c>
      <c r="M43" s="57">
        <f t="shared" ref="M43:M44" si="15">ROUND(J43*K43*(1-L43)*F43,2)</f>
        <v>3441401.81</v>
      </c>
      <c r="N43" s="57"/>
      <c r="O43" s="57">
        <f t="shared" ref="O43" si="16">IF(N43&lt;&gt;0,M43-N43,0)</f>
        <v>0</v>
      </c>
    </row>
    <row r="44" spans="1:15" ht="16.5" x14ac:dyDescent="0.25">
      <c r="A44" s="2"/>
      <c r="B44" s="51">
        <v>45261</v>
      </c>
      <c r="C44" s="51">
        <v>45292</v>
      </c>
      <c r="D44" s="72" t="s">
        <v>12</v>
      </c>
      <c r="E44" s="51"/>
      <c r="F44" s="53">
        <v>49793.712289999996</v>
      </c>
      <c r="G44" s="52">
        <v>0.8155</v>
      </c>
      <c r="H44" s="54">
        <f>Preço!O41</f>
        <v>3.525169</v>
      </c>
      <c r="I44" s="55">
        <v>0.9456</v>
      </c>
      <c r="J44" s="55">
        <f t="shared" si="10"/>
        <v>5.2862689999999999</v>
      </c>
      <c r="K44" s="54">
        <v>13.35</v>
      </c>
      <c r="L44" s="56">
        <v>5.856383852604452E-3</v>
      </c>
      <c r="M44" s="57">
        <f t="shared" si="15"/>
        <v>3493447</v>
      </c>
      <c r="N44" s="57"/>
      <c r="O44" s="57"/>
    </row>
    <row r="45" spans="1:15" ht="14" x14ac:dyDescent="0.25">
      <c r="A45" s="2"/>
      <c r="B45" s="51"/>
      <c r="C45" s="51"/>
      <c r="D45" s="72"/>
      <c r="E45" s="51"/>
      <c r="F45" s="53"/>
      <c r="G45" s="52"/>
      <c r="H45" s="54"/>
      <c r="I45" s="55"/>
      <c r="J45" s="55"/>
      <c r="K45" s="54"/>
      <c r="L45" s="56"/>
      <c r="M45" s="57"/>
      <c r="N45" s="57"/>
      <c r="O45" s="57"/>
    </row>
    <row r="46" spans="1:15" s="29" customFormat="1" ht="14" x14ac:dyDescent="0.3">
      <c r="A46" s="43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58"/>
      <c r="M46" s="59">
        <f>SUM(M9:M45)</f>
        <v>114952366.55</v>
      </c>
      <c r="N46" s="59">
        <f>SUM(N9:N45)</f>
        <v>43718054.659999996</v>
      </c>
      <c r="O46" s="59">
        <f>SUM(O9:O45)</f>
        <v>-2782797.01</v>
      </c>
    </row>
    <row r="47" spans="1:15" ht="14" x14ac:dyDescent="0.25">
      <c r="A47" s="2"/>
      <c r="B47" s="63" t="s">
        <v>84</v>
      </c>
      <c r="C47" s="2"/>
      <c r="D47" s="2"/>
      <c r="E47" s="2"/>
      <c r="F47" s="4"/>
      <c r="G47" s="4"/>
      <c r="H47" s="4"/>
      <c r="I47" s="4"/>
      <c r="J47" s="4"/>
      <c r="K47" s="4"/>
      <c r="L47" s="4"/>
      <c r="M47" s="4"/>
      <c r="N47" s="2"/>
    </row>
    <row r="48" spans="1:15" ht="14.5" x14ac:dyDescent="0.25">
      <c r="A48" s="2"/>
      <c r="B48" s="5"/>
      <c r="C48" s="2"/>
      <c r="D48" s="2"/>
      <c r="E48" s="2"/>
      <c r="F48" s="4"/>
      <c r="G48" s="4"/>
      <c r="H48" s="4"/>
      <c r="I48" s="4"/>
      <c r="J48" s="4"/>
      <c r="K48" s="4"/>
      <c r="L48" s="4"/>
      <c r="M48" s="4"/>
      <c r="N48" s="2"/>
    </row>
    <row r="49" spans="1:14" ht="14.5" x14ac:dyDescent="0.25">
      <c r="A49" s="6"/>
      <c r="B49" s="77" t="s">
        <v>13</v>
      </c>
      <c r="C49" s="77"/>
      <c r="D49" s="77"/>
      <c r="E49" s="7" t="s">
        <v>20</v>
      </c>
      <c r="F49" s="8"/>
      <c r="G49" s="2"/>
      <c r="H49" s="2"/>
      <c r="I49" s="2"/>
      <c r="J49" s="2"/>
      <c r="K49" s="2"/>
      <c r="L49" s="2"/>
      <c r="M49" s="2"/>
      <c r="N49" s="2"/>
    </row>
    <row r="50" spans="1:14" ht="14.5" x14ac:dyDescent="0.25">
      <c r="A50" s="6"/>
      <c r="B50" s="76" t="s">
        <v>14</v>
      </c>
      <c r="C50" s="76"/>
      <c r="D50" s="60">
        <f>D5</f>
        <v>102137250</v>
      </c>
      <c r="E50" s="9" t="s">
        <v>21</v>
      </c>
      <c r="F50" s="9" t="s">
        <v>22</v>
      </c>
      <c r="G50" s="2"/>
      <c r="H50" s="2"/>
      <c r="I50" s="2"/>
      <c r="J50" s="2"/>
      <c r="K50" s="2"/>
      <c r="L50" s="2"/>
      <c r="M50" s="2"/>
      <c r="N50" s="2"/>
    </row>
    <row r="51" spans="1:14" ht="14.5" x14ac:dyDescent="0.25">
      <c r="A51" s="6"/>
      <c r="B51" s="76" t="s">
        <v>16</v>
      </c>
      <c r="C51" s="76"/>
      <c r="D51" s="60">
        <f>SUMIF($B$9:$B$40,"&lt;="&amp;E53,$M$9:$M$40)</f>
        <v>28568758.449999999</v>
      </c>
      <c r="E51" s="10"/>
      <c r="F51" s="9"/>
      <c r="G51" s="11"/>
      <c r="H51" s="12"/>
      <c r="I51" s="12"/>
      <c r="J51" s="2"/>
      <c r="K51" s="2"/>
      <c r="L51" s="2"/>
      <c r="M51" s="2"/>
      <c r="N51" s="2"/>
    </row>
    <row r="52" spans="1:14" ht="14.5" x14ac:dyDescent="0.25">
      <c r="A52" s="6"/>
      <c r="B52" s="76" t="s">
        <v>17</v>
      </c>
      <c r="C52" s="76"/>
      <c r="D52" s="60">
        <f>D50-D51</f>
        <v>73568491.549999997</v>
      </c>
      <c r="E52" s="10"/>
      <c r="F52" s="9"/>
      <c r="G52" s="11"/>
      <c r="H52" s="12"/>
      <c r="I52" s="12"/>
      <c r="J52" s="2"/>
      <c r="K52" s="2"/>
      <c r="L52" s="2"/>
      <c r="M52" s="2"/>
      <c r="N52" s="2"/>
    </row>
    <row r="53" spans="1:14" ht="14.5" x14ac:dyDescent="0.25">
      <c r="A53" s="6"/>
      <c r="B53" s="76" t="s">
        <v>15</v>
      </c>
      <c r="C53" s="76"/>
      <c r="D53" s="60">
        <f>ROUND(VLOOKUP(YEAR($E53),IPCA!$B$5:$N$16,2,0)/VLOOKUP(YEAR($D$6),IPCA!$B$4:$N$16,6,0)*D52,2)</f>
        <v>85222774.409999996</v>
      </c>
      <c r="E53" s="14">
        <v>44562</v>
      </c>
      <c r="F53" s="14">
        <v>44593</v>
      </c>
      <c r="G53" s="2"/>
      <c r="H53" s="2"/>
      <c r="I53" s="2"/>
      <c r="J53" s="2"/>
      <c r="K53" s="2"/>
      <c r="L53" s="2"/>
      <c r="M53" s="2"/>
      <c r="N53" s="2"/>
    </row>
    <row r="54" spans="1:14" ht="14.5" x14ac:dyDescent="0.25">
      <c r="A54" s="6"/>
      <c r="B54" s="76" t="s">
        <v>18</v>
      </c>
      <c r="C54" s="76"/>
      <c r="D54" s="60">
        <f>SUMIF($B$9:$B$40,"&lt;="&amp;E56,$M$9:$M$40)-SUMIF($B$9:$B$40,"&lt;="&amp;E53,$M$9:$M$40)</f>
        <v>46841330.650000006</v>
      </c>
      <c r="F54" s="9"/>
      <c r="G54" s="2"/>
      <c r="H54" s="2"/>
      <c r="I54" s="2"/>
      <c r="J54" s="2"/>
      <c r="K54" s="2"/>
      <c r="L54" s="2"/>
      <c r="M54" s="2"/>
      <c r="N54" s="2"/>
    </row>
    <row r="55" spans="1:14" ht="14.5" x14ac:dyDescent="0.25">
      <c r="A55" s="6"/>
      <c r="B55" s="76" t="s">
        <v>17</v>
      </c>
      <c r="C55" s="76"/>
      <c r="D55" s="60">
        <f>D53-D54</f>
        <v>38381443.75999999</v>
      </c>
      <c r="E55" s="9"/>
      <c r="F55" s="9"/>
      <c r="G55" s="2"/>
      <c r="H55" s="2"/>
      <c r="I55" s="2"/>
      <c r="J55" s="2"/>
      <c r="K55" s="2"/>
      <c r="L55" s="2"/>
      <c r="M55" s="2"/>
      <c r="N55" s="2"/>
    </row>
    <row r="56" spans="1:14" ht="14.5" x14ac:dyDescent="0.25">
      <c r="A56" s="6"/>
      <c r="B56" s="76" t="s">
        <v>15</v>
      </c>
      <c r="C56" s="76"/>
      <c r="D56" s="60">
        <f>ROUND(VLOOKUP(YEAR($E56),IPCA!$B$5:$N$17,2,0)/VLOOKUP(YEAR(E53),IPCA!$B$4:$N$17,2,0)*D55,2)</f>
        <v>40597779.090000004</v>
      </c>
      <c r="E56" s="14">
        <v>44927</v>
      </c>
      <c r="F56" s="14">
        <v>44958</v>
      </c>
      <c r="G56" s="2"/>
      <c r="H56" s="2"/>
      <c r="I56" s="2"/>
      <c r="J56" s="2"/>
      <c r="K56" s="2"/>
      <c r="L56" s="2"/>
      <c r="M56" s="2"/>
      <c r="N56" s="2"/>
    </row>
    <row r="57" spans="1:14" ht="14.5" x14ac:dyDescent="0.25">
      <c r="A57" s="6"/>
      <c r="B57" s="76" t="s">
        <v>19</v>
      </c>
      <c r="C57" s="76"/>
      <c r="D57" s="60">
        <f>SUMIF($B$9:$B$46,"&lt;="&amp;E59,$M$9:$M$46)-SUMIF($B$9:$B$46,"&lt;="&amp;E56,$M$9:$M$46)</f>
        <v>39542277.449999988</v>
      </c>
      <c r="E57" s="9"/>
      <c r="F57" s="9"/>
      <c r="G57" s="2"/>
      <c r="H57" s="2"/>
      <c r="I57" s="2"/>
      <c r="J57" s="2"/>
      <c r="K57" s="2"/>
      <c r="L57" s="2"/>
      <c r="M57" s="2"/>
      <c r="N57" s="2"/>
    </row>
    <row r="58" spans="1:14" ht="14.5" x14ac:dyDescent="0.25">
      <c r="A58" s="6"/>
      <c r="B58" s="76" t="s">
        <v>17</v>
      </c>
      <c r="C58" s="76"/>
      <c r="D58" s="60">
        <f>D56-D57</f>
        <v>1055501.6400000155</v>
      </c>
      <c r="E58" s="9"/>
      <c r="F58" s="9"/>
      <c r="G58" s="2"/>
      <c r="H58" s="2"/>
      <c r="I58" s="2"/>
      <c r="J58" s="2"/>
      <c r="K58" s="2"/>
      <c r="L58" s="2"/>
      <c r="M58" s="2"/>
      <c r="N58" s="2"/>
    </row>
    <row r="59" spans="1:14" ht="14.5" x14ac:dyDescent="0.25">
      <c r="A59" s="6"/>
      <c r="B59" s="77"/>
      <c r="C59" s="77"/>
      <c r="D59" s="77"/>
      <c r="E59" s="14">
        <v>45292</v>
      </c>
      <c r="F59" s="13"/>
      <c r="G59" s="2"/>
      <c r="H59" s="2"/>
      <c r="I59" s="2"/>
      <c r="J59" s="2"/>
      <c r="K59" s="2"/>
      <c r="L59" s="2"/>
      <c r="M59" s="2"/>
      <c r="N59" s="2"/>
    </row>
    <row r="60" spans="1:14" ht="14.5" x14ac:dyDescent="0.25">
      <c r="A60" s="6"/>
      <c r="B60" s="2"/>
      <c r="C60" s="2"/>
      <c r="D60" s="2"/>
      <c r="E60" s="2"/>
      <c r="F60" s="13"/>
      <c r="G60" s="2"/>
      <c r="H60" s="2"/>
      <c r="I60" s="2"/>
      <c r="J60" s="2"/>
      <c r="K60" s="2"/>
      <c r="L60" s="2"/>
      <c r="M60" s="2"/>
      <c r="N60" s="2"/>
    </row>
    <row r="61" spans="1:14" ht="14.5" x14ac:dyDescent="0.25">
      <c r="A61" s="2"/>
      <c r="B61" s="2"/>
      <c r="C61" s="2"/>
      <c r="D61" s="2"/>
      <c r="E61" s="2"/>
      <c r="F61" s="13"/>
      <c r="G61" s="2"/>
      <c r="H61" s="2"/>
      <c r="I61" s="2"/>
      <c r="J61" s="2"/>
      <c r="K61" s="2"/>
      <c r="L61" s="2"/>
      <c r="M61" s="2"/>
      <c r="N61" s="2"/>
    </row>
    <row r="62" spans="1:14" ht="14.5" x14ac:dyDescent="0.25">
      <c r="A62" s="2"/>
      <c r="F62" s="13"/>
      <c r="G62" s="2"/>
      <c r="H62" s="2"/>
      <c r="I62" s="2"/>
      <c r="J62" s="2"/>
      <c r="K62" s="2"/>
      <c r="L62" s="2"/>
      <c r="M62" s="2"/>
      <c r="N62" s="2"/>
    </row>
    <row r="63" spans="1:14" ht="14.5" x14ac:dyDescent="0.25">
      <c r="F63" s="13"/>
      <c r="G63" s="2"/>
      <c r="H63" s="2"/>
      <c r="I63" s="2"/>
      <c r="J63" s="2"/>
    </row>
    <row r="64" spans="1:14" ht="14.5" x14ac:dyDescent="0.25">
      <c r="F64" s="13"/>
      <c r="G64" s="2"/>
      <c r="H64" s="2"/>
      <c r="I64" s="2"/>
      <c r="J64" s="2"/>
    </row>
  </sheetData>
  <mergeCells count="12">
    <mergeCell ref="B50:C50"/>
    <mergeCell ref="B46:K46"/>
    <mergeCell ref="B49:D49"/>
    <mergeCell ref="B56:C56"/>
    <mergeCell ref="B57:C57"/>
    <mergeCell ref="B58:C58"/>
    <mergeCell ref="B59:D59"/>
    <mergeCell ref="B51:C51"/>
    <mergeCell ref="B52:C52"/>
    <mergeCell ref="B53:C53"/>
    <mergeCell ref="B54:C54"/>
    <mergeCell ref="B55:C55"/>
  </mergeCells>
  <hyperlinks>
    <hyperlink ref="F4" r:id="rId1" xr:uid="{24360893-F1B3-490E-9BD4-EA777B6AB4A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A7B7-5544-424C-936A-D12E9A98D77D}">
  <dimension ref="B2:M45"/>
  <sheetViews>
    <sheetView showGridLines="0" zoomScaleNormal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D45" sqref="D45"/>
    </sheetView>
  </sheetViews>
  <sheetFormatPr defaultColWidth="9.26953125" defaultRowHeight="13" x14ac:dyDescent="0.3"/>
  <cols>
    <col min="1" max="1" width="2.7265625" style="29" customWidth="1"/>
    <col min="2" max="6" width="17.7265625" style="29" customWidth="1"/>
    <col min="7" max="7" width="75.7265625" style="29" bestFit="1" customWidth="1"/>
    <col min="8" max="16384" width="9.26953125" style="29"/>
  </cols>
  <sheetData>
    <row r="2" spans="2:13" s="30" customFormat="1" ht="50.15" customHeight="1" x14ac:dyDescent="0.35">
      <c r="C2" s="82" t="s">
        <v>46</v>
      </c>
      <c r="D2" s="82"/>
      <c r="E2" s="82"/>
      <c r="F2" s="82"/>
      <c r="G2" s="31"/>
      <c r="H2" s="31"/>
      <c r="I2" s="31"/>
      <c r="J2" s="31"/>
      <c r="K2" s="31"/>
      <c r="L2" s="31"/>
      <c r="M2" s="31"/>
    </row>
    <row r="4" spans="2:13" ht="21.75" customHeight="1" x14ac:dyDescent="0.3">
      <c r="B4" s="32" t="s">
        <v>38</v>
      </c>
      <c r="C4" s="33" t="s">
        <v>47</v>
      </c>
      <c r="D4" s="33" t="s">
        <v>48</v>
      </c>
      <c r="E4" s="33" t="s">
        <v>39</v>
      </c>
      <c r="F4" s="33" t="s">
        <v>40</v>
      </c>
      <c r="G4" s="33" t="s">
        <v>86</v>
      </c>
    </row>
    <row r="5" spans="2:13" x14ac:dyDescent="0.3">
      <c r="B5" s="24">
        <v>44197</v>
      </c>
      <c r="C5" s="26">
        <v>3.597</v>
      </c>
      <c r="D5" s="26">
        <v>3.6377999999999999</v>
      </c>
      <c r="E5" s="26">
        <f>IF(C5="","",AVERAGE(C5:D5))</f>
        <v>3.6173999999999999</v>
      </c>
      <c r="F5" s="26">
        <f t="shared" ref="F5:F16" si="0">IF(C5="","",E5*$C$44)</f>
        <v>0.65113199999999993</v>
      </c>
      <c r="G5" s="26"/>
    </row>
    <row r="6" spans="2:13" x14ac:dyDescent="0.3">
      <c r="B6" s="24">
        <v>44228</v>
      </c>
      <c r="C6" s="26">
        <v>3.6880000000000002</v>
      </c>
      <c r="D6" s="26">
        <v>3.7227000000000001</v>
      </c>
      <c r="E6" s="26">
        <f t="shared" ref="E6:E16" si="1">IF(C6="","",AVERAGE(C6:D6))</f>
        <v>3.7053500000000001</v>
      </c>
      <c r="F6" s="26">
        <f t="shared" si="0"/>
        <v>0.66696299999999997</v>
      </c>
      <c r="G6" s="26"/>
    </row>
    <row r="7" spans="2:13" x14ac:dyDescent="0.3">
      <c r="B7" s="24">
        <v>44256</v>
      </c>
      <c r="C7" s="26">
        <v>3.9188000000000001</v>
      </c>
      <c r="D7" s="26">
        <v>4.2507999999999999</v>
      </c>
      <c r="E7" s="26">
        <f t="shared" si="1"/>
        <v>4.0847999999999995</v>
      </c>
      <c r="F7" s="26">
        <f t="shared" si="0"/>
        <v>0.73526399999999992</v>
      </c>
      <c r="G7" s="26"/>
    </row>
    <row r="8" spans="2:13" x14ac:dyDescent="0.3">
      <c r="B8" s="24">
        <v>44287</v>
      </c>
      <c r="C8" s="26">
        <v>4.3129</v>
      </c>
      <c r="D8" s="26">
        <v>4.2971000000000004</v>
      </c>
      <c r="E8" s="26">
        <f t="shared" si="1"/>
        <v>4.3049999999999997</v>
      </c>
      <c r="F8" s="26">
        <f t="shared" si="0"/>
        <v>0.77489999999999992</v>
      </c>
      <c r="G8" s="26"/>
    </row>
    <row r="9" spans="2:13" x14ac:dyDescent="0.3">
      <c r="B9" s="24">
        <v>44317</v>
      </c>
      <c r="C9" s="26">
        <v>4.2896999999999998</v>
      </c>
      <c r="D9" s="26">
        <v>4.2453000000000003</v>
      </c>
      <c r="E9" s="26">
        <f t="shared" si="1"/>
        <v>4.2675000000000001</v>
      </c>
      <c r="F9" s="26">
        <f t="shared" si="0"/>
        <v>0.76815</v>
      </c>
      <c r="G9" s="26"/>
    </row>
    <row r="10" spans="2:13" x14ac:dyDescent="0.3">
      <c r="B10" s="24">
        <v>44348</v>
      </c>
      <c r="C10" s="26">
        <v>4.4359999999999999</v>
      </c>
      <c r="D10" s="26">
        <v>4.4542000000000002</v>
      </c>
      <c r="E10" s="26">
        <f t="shared" si="1"/>
        <v>4.4451000000000001</v>
      </c>
      <c r="F10" s="26">
        <f t="shared" si="0"/>
        <v>0.800118</v>
      </c>
      <c r="G10" s="26"/>
    </row>
    <row r="11" spans="2:13" x14ac:dyDescent="0.3">
      <c r="B11" s="24">
        <v>44378</v>
      </c>
      <c r="C11" s="26">
        <v>4.4577999999999998</v>
      </c>
      <c r="D11" s="26">
        <v>4.4554999999999998</v>
      </c>
      <c r="E11" s="26">
        <f t="shared" si="1"/>
        <v>4.4566499999999998</v>
      </c>
      <c r="F11" s="26">
        <f t="shared" si="0"/>
        <v>0.80219699999999994</v>
      </c>
      <c r="G11" s="26"/>
    </row>
    <row r="12" spans="2:13" x14ac:dyDescent="0.3">
      <c r="B12" s="24">
        <v>44409</v>
      </c>
      <c r="C12" s="26">
        <v>4.6266999999999996</v>
      </c>
      <c r="D12" s="26">
        <v>4.5636000000000001</v>
      </c>
      <c r="E12" s="26">
        <f t="shared" si="1"/>
        <v>4.5951500000000003</v>
      </c>
      <c r="F12" s="26">
        <f t="shared" si="0"/>
        <v>0.82712700000000006</v>
      </c>
      <c r="G12" s="26"/>
    </row>
    <row r="13" spans="2:13" x14ac:dyDescent="0.3">
      <c r="B13" s="24">
        <v>44440</v>
      </c>
      <c r="C13" s="26">
        <v>4.5918999999999999</v>
      </c>
      <c r="D13" s="26">
        <v>4.6513</v>
      </c>
      <c r="E13" s="26">
        <f t="shared" si="1"/>
        <v>4.6215999999999999</v>
      </c>
      <c r="F13" s="26">
        <f t="shared" si="0"/>
        <v>0.83188799999999996</v>
      </c>
      <c r="G13" s="26"/>
    </row>
    <row r="14" spans="2:13" x14ac:dyDescent="0.3">
      <c r="B14" s="24">
        <v>44470</v>
      </c>
      <c r="C14" s="26">
        <v>4.6927000000000003</v>
      </c>
      <c r="D14" s="26">
        <v>4.8257000000000003</v>
      </c>
      <c r="E14" s="26">
        <f t="shared" si="1"/>
        <v>4.7591999999999999</v>
      </c>
      <c r="F14" s="26">
        <f t="shared" si="0"/>
        <v>0.85665599999999997</v>
      </c>
      <c r="G14" s="26"/>
    </row>
    <row r="15" spans="2:13" x14ac:dyDescent="0.3">
      <c r="B15" s="24">
        <v>44501</v>
      </c>
      <c r="C15" s="26">
        <v>4.9882999999999997</v>
      </c>
      <c r="D15" s="26">
        <v>4.9882999999999997</v>
      </c>
      <c r="E15" s="26">
        <f t="shared" si="1"/>
        <v>4.9882999999999997</v>
      </c>
      <c r="F15" s="26">
        <f t="shared" si="0"/>
        <v>0.89789399999999997</v>
      </c>
      <c r="G15" s="26"/>
    </row>
    <row r="16" spans="2:13" x14ac:dyDescent="0.3">
      <c r="B16" s="24">
        <v>44531</v>
      </c>
      <c r="C16" s="26">
        <v>4.9882999999999997</v>
      </c>
      <c r="D16" s="26">
        <v>4.9882999999999997</v>
      </c>
      <c r="E16" s="26">
        <f t="shared" si="1"/>
        <v>4.9882999999999997</v>
      </c>
      <c r="F16" s="26">
        <f t="shared" si="0"/>
        <v>0.89789399999999997</v>
      </c>
      <c r="G16" s="26"/>
    </row>
    <row r="17" spans="2:7" x14ac:dyDescent="0.3">
      <c r="B17" s="24">
        <v>44562</v>
      </c>
      <c r="C17" s="26">
        <v>4.9882999999999997</v>
      </c>
      <c r="D17" s="26">
        <v>4.9882999999999997</v>
      </c>
      <c r="E17" s="26">
        <f t="shared" ref="E17:E18" si="2">IF(C17="","",AVERAGE(C17:D17))</f>
        <v>4.9882999999999997</v>
      </c>
      <c r="F17" s="26">
        <f t="shared" ref="F17:F18" si="3">IF(C17="","",E17*$C$44)</f>
        <v>0.89789399999999997</v>
      </c>
      <c r="G17" s="26"/>
    </row>
    <row r="18" spans="2:7" x14ac:dyDescent="0.3">
      <c r="B18" s="24">
        <v>44593</v>
      </c>
      <c r="C18" s="26">
        <v>4.9882999999999997</v>
      </c>
      <c r="D18" s="26">
        <v>4.9882999999999997</v>
      </c>
      <c r="E18" s="26">
        <f t="shared" si="2"/>
        <v>4.9882999999999997</v>
      </c>
      <c r="F18" s="26">
        <f t="shared" si="3"/>
        <v>0.89789399999999997</v>
      </c>
      <c r="G18" s="26"/>
    </row>
    <row r="19" spans="2:7" x14ac:dyDescent="0.3">
      <c r="B19" s="24">
        <v>44621</v>
      </c>
      <c r="C19" s="26">
        <v>4.9882999999999997</v>
      </c>
      <c r="D19" s="26">
        <v>4.9882999999999997</v>
      </c>
      <c r="E19" s="26">
        <f t="shared" ref="E19" si="4">IF(C19="","",AVERAGE(C19:D19))</f>
        <v>4.9882999999999997</v>
      </c>
      <c r="F19" s="26">
        <f t="shared" ref="F19" si="5">IF(C19="","",E19*$C$44)</f>
        <v>0.89789399999999997</v>
      </c>
      <c r="G19" s="26"/>
    </row>
    <row r="20" spans="2:7" x14ac:dyDescent="0.3">
      <c r="B20" s="24">
        <v>44652</v>
      </c>
      <c r="C20" s="26">
        <v>4.9882999999999997</v>
      </c>
      <c r="D20" s="26">
        <v>4.9882999999999997</v>
      </c>
      <c r="E20" s="26">
        <v>4.9882999999999997</v>
      </c>
      <c r="F20" s="26">
        <v>0.89789399999999997</v>
      </c>
      <c r="G20" s="26"/>
    </row>
    <row r="21" spans="2:7" x14ac:dyDescent="0.3">
      <c r="B21" s="24">
        <v>44682</v>
      </c>
      <c r="C21" s="26">
        <v>4.9882999999999997</v>
      </c>
      <c r="D21" s="26">
        <v>4.9882999999999997</v>
      </c>
      <c r="E21" s="26">
        <f t="shared" ref="E21" si="6">IF(C21="","",AVERAGE(C21:D21))</f>
        <v>4.9882999999999997</v>
      </c>
      <c r="F21" s="26">
        <f t="shared" ref="F21" si="7">IF(C21="","",E21*$C$44)</f>
        <v>0.89789399999999997</v>
      </c>
      <c r="G21" s="26"/>
    </row>
    <row r="22" spans="2:7" x14ac:dyDescent="0.3">
      <c r="B22" s="24">
        <v>44713</v>
      </c>
      <c r="C22" s="26">
        <v>4.9882999999999997</v>
      </c>
      <c r="D22" s="26">
        <v>4.9882999999999997</v>
      </c>
      <c r="E22" s="26">
        <f t="shared" ref="E22" si="8">IF(C22="","",AVERAGE(C22:D22))</f>
        <v>4.9882999999999997</v>
      </c>
      <c r="F22" s="26">
        <f t="shared" ref="F22" si="9">IF(C22="","",E22*$C$44)</f>
        <v>0.89789399999999997</v>
      </c>
      <c r="G22" s="26"/>
    </row>
    <row r="23" spans="2:7" x14ac:dyDescent="0.3">
      <c r="B23" s="24">
        <v>44743</v>
      </c>
      <c r="C23" s="26">
        <v>4.9882999999999997</v>
      </c>
      <c r="D23" s="26">
        <v>4.9882999999999997</v>
      </c>
      <c r="E23" s="26">
        <f t="shared" ref="E23" si="10">IF(C23="","",AVERAGE(C23:D23))</f>
        <v>4.9882999999999997</v>
      </c>
      <c r="F23" s="26">
        <f t="shared" ref="F23" si="11">IF(C23="","",E23*$C$44)</f>
        <v>0.89789399999999997</v>
      </c>
      <c r="G23" s="26"/>
    </row>
    <row r="24" spans="2:7" x14ac:dyDescent="0.3">
      <c r="B24" s="24">
        <v>44774</v>
      </c>
      <c r="C24" s="26">
        <v>4.9882999999999997</v>
      </c>
      <c r="D24" s="26">
        <v>4.9882999999999997</v>
      </c>
      <c r="E24" s="26">
        <f t="shared" ref="E24" si="12">IF(C24="","",AVERAGE(C24:D24))</f>
        <v>4.9882999999999997</v>
      </c>
      <c r="F24" s="26">
        <f t="shared" ref="F24" si="13">IF(C24="","",E24*$C$44)</f>
        <v>0.89789399999999997</v>
      </c>
      <c r="G24" s="26"/>
    </row>
    <row r="25" spans="2:7" x14ac:dyDescent="0.3">
      <c r="B25" s="24">
        <v>44805</v>
      </c>
      <c r="C25" s="26">
        <v>4.9882999999999997</v>
      </c>
      <c r="D25" s="26">
        <v>4.9882999999999997</v>
      </c>
      <c r="E25" s="26">
        <f t="shared" ref="E25" si="14">IF(C25="","",AVERAGE(C25:D25))</f>
        <v>4.9882999999999997</v>
      </c>
      <c r="F25" s="26">
        <f t="shared" ref="F25" si="15">IF(C25="","",E25*$C$44)</f>
        <v>0.89789399999999997</v>
      </c>
      <c r="G25" s="26"/>
    </row>
    <row r="26" spans="2:7" x14ac:dyDescent="0.3">
      <c r="B26" s="24">
        <v>44835</v>
      </c>
      <c r="C26" s="26">
        <v>4.9882999999999997</v>
      </c>
      <c r="D26" s="26">
        <v>4.9882999999999997</v>
      </c>
      <c r="E26" s="26">
        <f t="shared" ref="E26" si="16">IF(C26="","",AVERAGE(C26:D26))</f>
        <v>4.9882999999999997</v>
      </c>
      <c r="F26" s="26">
        <f t="shared" ref="F26" si="17">IF(C26="","",E26*$C$44)</f>
        <v>0.89789399999999997</v>
      </c>
      <c r="G26" s="26"/>
    </row>
    <row r="27" spans="2:7" x14ac:dyDescent="0.3">
      <c r="B27" s="24">
        <v>44866</v>
      </c>
      <c r="C27" s="26">
        <v>4.9882999999999997</v>
      </c>
      <c r="D27" s="26">
        <v>4.9882999999999997</v>
      </c>
      <c r="E27" s="26">
        <f t="shared" ref="E27" si="18">IF(C27="","",AVERAGE(C27:D27))</f>
        <v>4.9882999999999997</v>
      </c>
      <c r="F27" s="26">
        <f t="shared" ref="F27" si="19">IF(C27="","",E27*$C$44)</f>
        <v>0.89789399999999997</v>
      </c>
      <c r="G27" s="26"/>
    </row>
    <row r="28" spans="2:7" x14ac:dyDescent="0.3">
      <c r="B28" s="24">
        <v>44896</v>
      </c>
      <c r="C28" s="26">
        <v>4.9882999999999997</v>
      </c>
      <c r="D28" s="26">
        <v>4.9882999999999997</v>
      </c>
      <c r="E28" s="26">
        <f t="shared" ref="E28" si="20">IF(C28="","",AVERAGE(C28:D28))</f>
        <v>4.9882999999999997</v>
      </c>
      <c r="F28" s="26">
        <f t="shared" ref="F28" si="21">IF(C28="","",E28*$C$44)</f>
        <v>0.89789399999999997</v>
      </c>
      <c r="G28" s="26"/>
    </row>
    <row r="29" spans="2:7" x14ac:dyDescent="0.3">
      <c r="B29" s="24">
        <v>44927</v>
      </c>
      <c r="C29" s="26">
        <v>4.3211000000000004</v>
      </c>
      <c r="D29" s="26">
        <v>4.3211000000000004</v>
      </c>
      <c r="E29" s="26">
        <f t="shared" ref="E29:E31" si="22">IF(C29="","",AVERAGE(C29:D29))</f>
        <v>4.3211000000000004</v>
      </c>
      <c r="F29" s="26">
        <f>IF(C29="","",E29*$C$44)</f>
        <v>0.77779799999999999</v>
      </c>
      <c r="G29" s="26" t="s">
        <v>87</v>
      </c>
    </row>
    <row r="30" spans="2:7" x14ac:dyDescent="0.3">
      <c r="B30" s="24">
        <v>44958</v>
      </c>
      <c r="C30" s="26">
        <v>4.8773999999999997</v>
      </c>
      <c r="D30" s="26">
        <v>4.8773999999999997</v>
      </c>
      <c r="E30" s="26">
        <f t="shared" si="22"/>
        <v>4.8773999999999997</v>
      </c>
      <c r="F30" s="26">
        <f>IF(C30="","",E30*$C$44)</f>
        <v>0.87793199999999993</v>
      </c>
      <c r="G30" s="26" t="s">
        <v>88</v>
      </c>
    </row>
    <row r="31" spans="2:7" x14ac:dyDescent="0.3">
      <c r="B31" s="24">
        <v>44986</v>
      </c>
      <c r="C31" s="26">
        <v>6.0963000000000003</v>
      </c>
      <c r="D31" s="26">
        <v>6.0963000000000003</v>
      </c>
      <c r="E31" s="26">
        <f t="shared" si="22"/>
        <v>6.0963000000000003</v>
      </c>
      <c r="F31" s="26">
        <f>IF(C31="","",E31*$C$44)</f>
        <v>1.097334</v>
      </c>
      <c r="G31" s="26" t="s">
        <v>83</v>
      </c>
    </row>
    <row r="32" spans="2:7" x14ac:dyDescent="0.3">
      <c r="B32" s="24">
        <v>45017</v>
      </c>
      <c r="C32" s="26">
        <v>6.2389000000000001</v>
      </c>
      <c r="D32" s="26">
        <v>6.2389000000000001</v>
      </c>
      <c r="E32" s="26">
        <f t="shared" ref="E32" si="23">IF(C32="","",AVERAGE(C32:D32))</f>
        <v>6.2389000000000001</v>
      </c>
      <c r="F32" s="26">
        <f>IF(C32="","",E32*$C$45)</f>
        <v>1.2477800000000001</v>
      </c>
      <c r="G32" s="26" t="s">
        <v>85</v>
      </c>
    </row>
    <row r="33" spans="2:7" x14ac:dyDescent="0.3">
      <c r="B33" s="24">
        <v>45047</v>
      </c>
      <c r="C33" s="79" t="s">
        <v>91</v>
      </c>
      <c r="D33" s="80"/>
      <c r="E33" s="81"/>
      <c r="F33" s="26">
        <v>0.9456</v>
      </c>
      <c r="G33" s="26" t="s">
        <v>90</v>
      </c>
    </row>
    <row r="34" spans="2:7" x14ac:dyDescent="0.3">
      <c r="B34" s="24">
        <v>45078</v>
      </c>
      <c r="C34" s="79" t="s">
        <v>91</v>
      </c>
      <c r="D34" s="80"/>
      <c r="E34" s="81"/>
      <c r="F34" s="26">
        <v>0.9456</v>
      </c>
      <c r="G34" s="26" t="s">
        <v>90</v>
      </c>
    </row>
    <row r="35" spans="2:7" x14ac:dyDescent="0.3">
      <c r="B35" s="24">
        <v>45108</v>
      </c>
      <c r="C35" s="79" t="s">
        <v>91</v>
      </c>
      <c r="D35" s="80"/>
      <c r="E35" s="81"/>
      <c r="F35" s="26">
        <v>0.9456</v>
      </c>
      <c r="G35" s="26" t="s">
        <v>90</v>
      </c>
    </row>
    <row r="36" spans="2:7" x14ac:dyDescent="0.3">
      <c r="B36" s="24">
        <v>45139</v>
      </c>
      <c r="C36" s="79" t="s">
        <v>91</v>
      </c>
      <c r="D36" s="80"/>
      <c r="E36" s="81"/>
      <c r="F36" s="26">
        <v>0.9456</v>
      </c>
      <c r="G36" s="26" t="s">
        <v>90</v>
      </c>
    </row>
    <row r="37" spans="2:7" x14ac:dyDescent="0.3">
      <c r="B37" s="24">
        <v>45170</v>
      </c>
      <c r="C37" s="79" t="s">
        <v>91</v>
      </c>
      <c r="D37" s="80"/>
      <c r="E37" s="81"/>
      <c r="F37" s="26">
        <v>0.9456</v>
      </c>
      <c r="G37" s="26" t="s">
        <v>90</v>
      </c>
    </row>
    <row r="38" spans="2:7" x14ac:dyDescent="0.3">
      <c r="B38" s="24">
        <v>45200</v>
      </c>
      <c r="C38" s="79" t="s">
        <v>91</v>
      </c>
      <c r="D38" s="80"/>
      <c r="E38" s="81"/>
      <c r="F38" s="26">
        <v>0.9456</v>
      </c>
      <c r="G38" s="26" t="s">
        <v>90</v>
      </c>
    </row>
    <row r="39" spans="2:7" x14ac:dyDescent="0.3">
      <c r="B39" s="24">
        <v>45231</v>
      </c>
      <c r="C39" s="79" t="s">
        <v>91</v>
      </c>
      <c r="D39" s="80"/>
      <c r="E39" s="81"/>
      <c r="F39" s="26">
        <v>0.9456</v>
      </c>
      <c r="G39" s="26" t="s">
        <v>90</v>
      </c>
    </row>
    <row r="40" spans="2:7" x14ac:dyDescent="0.3">
      <c r="B40" s="24">
        <v>45261</v>
      </c>
      <c r="C40" s="79" t="s">
        <v>91</v>
      </c>
      <c r="D40" s="80"/>
      <c r="E40" s="81"/>
      <c r="F40" s="26">
        <v>0.9456</v>
      </c>
      <c r="G40" s="26" t="s">
        <v>90</v>
      </c>
    </row>
    <row r="41" spans="2:7" x14ac:dyDescent="0.3">
      <c r="B41" s="74"/>
    </row>
    <row r="42" spans="2:7" x14ac:dyDescent="0.3">
      <c r="B42" s="29" t="s">
        <v>42</v>
      </c>
      <c r="C42" s="29" t="s">
        <v>43</v>
      </c>
    </row>
    <row r="43" spans="2:7" x14ac:dyDescent="0.3">
      <c r="B43" s="29" t="s">
        <v>44</v>
      </c>
      <c r="C43" s="29" t="s">
        <v>45</v>
      </c>
    </row>
    <row r="44" spans="2:7" x14ac:dyDescent="0.3">
      <c r="B44" s="29" t="s">
        <v>41</v>
      </c>
      <c r="C44" s="34">
        <v>0.18</v>
      </c>
    </row>
    <row r="45" spans="2:7" x14ac:dyDescent="0.3">
      <c r="B45" s="29" t="s">
        <v>89</v>
      </c>
      <c r="C45" s="34">
        <v>0.2</v>
      </c>
    </row>
  </sheetData>
  <mergeCells count="9">
    <mergeCell ref="C40:E40"/>
    <mergeCell ref="C39:E39"/>
    <mergeCell ref="C38:E38"/>
    <mergeCell ref="C37:E37"/>
    <mergeCell ref="C2:F2"/>
    <mergeCell ref="C33:E33"/>
    <mergeCell ref="C35:E35"/>
    <mergeCell ref="C34:E34"/>
    <mergeCell ref="C36:E3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2998-37A1-47C6-8C8A-1B25FD9DA759}">
  <dimension ref="A1:O46"/>
  <sheetViews>
    <sheetView showGridLines="0" zoomScaleNormal="100" workbookViewId="0">
      <pane xSplit="2" ySplit="5" topLeftCell="F21" activePane="bottomRight" state="frozen"/>
      <selection pane="topRight" activeCell="C1" sqref="C1"/>
      <selection pane="bottomLeft" activeCell="A6" sqref="A6"/>
      <selection pane="bottomRight" activeCell="M48" sqref="M48"/>
    </sheetView>
  </sheetViews>
  <sheetFormatPr defaultRowHeight="14.5" x14ac:dyDescent="0.35"/>
  <cols>
    <col min="1" max="1" width="2.7265625" customWidth="1"/>
    <col min="3" max="8" width="10.54296875" customWidth="1"/>
    <col min="9" max="15" width="12.453125" customWidth="1"/>
  </cols>
  <sheetData>
    <row r="1" spans="1:15" x14ac:dyDescent="0.35">
      <c r="A1" s="1"/>
      <c r="B1" s="1"/>
      <c r="C1" s="1"/>
      <c r="D1" s="1"/>
      <c r="E1" s="1"/>
      <c r="F1" s="1"/>
    </row>
    <row r="2" spans="1:15" s="15" customFormat="1" ht="50.15" customHeight="1" x14ac:dyDescent="0.35">
      <c r="E2" s="85" t="s">
        <v>57</v>
      </c>
      <c r="F2" s="85"/>
      <c r="G2" s="85"/>
      <c r="H2" s="85"/>
      <c r="I2" s="85"/>
      <c r="J2" s="85"/>
      <c r="K2" s="85"/>
      <c r="L2" s="85"/>
      <c r="M2" s="85"/>
      <c r="N2" s="85"/>
      <c r="O2" s="85"/>
    </row>
    <row r="4" spans="1:15" s="22" customFormat="1" ht="20.25" customHeight="1" x14ac:dyDescent="0.3">
      <c r="B4" s="83" t="s">
        <v>49</v>
      </c>
      <c r="C4" s="83" t="s">
        <v>58</v>
      </c>
      <c r="D4" s="83"/>
      <c r="E4" s="83"/>
      <c r="F4" s="83"/>
      <c r="G4" s="83"/>
      <c r="H4" s="83"/>
      <c r="I4" s="83" t="s">
        <v>64</v>
      </c>
      <c r="J4" s="83"/>
      <c r="K4" s="83"/>
      <c r="L4" s="83"/>
      <c r="M4" s="83"/>
      <c r="N4" s="83"/>
      <c r="O4" s="84" t="s">
        <v>50</v>
      </c>
    </row>
    <row r="5" spans="1:15" s="22" customFormat="1" ht="20.25" customHeight="1" x14ac:dyDescent="0.3">
      <c r="B5" s="83"/>
      <c r="C5" s="23" t="s">
        <v>51</v>
      </c>
      <c r="D5" s="23" t="s">
        <v>52</v>
      </c>
      <c r="E5" s="23" t="s">
        <v>53</v>
      </c>
      <c r="F5" s="23" t="s">
        <v>54</v>
      </c>
      <c r="G5" s="23" t="s">
        <v>55</v>
      </c>
      <c r="H5" s="23" t="s">
        <v>56</v>
      </c>
      <c r="I5" s="23" t="s">
        <v>51</v>
      </c>
      <c r="J5" s="23" t="s">
        <v>52</v>
      </c>
      <c r="K5" s="23" t="s">
        <v>53</v>
      </c>
      <c r="L5" s="23" t="s">
        <v>54</v>
      </c>
      <c r="M5" s="23" t="s">
        <v>55</v>
      </c>
      <c r="N5" s="23" t="s">
        <v>56</v>
      </c>
      <c r="O5" s="84"/>
    </row>
    <row r="6" spans="1:15" s="22" customFormat="1" ht="13" x14ac:dyDescent="0.3">
      <c r="B6" s="24">
        <v>44197</v>
      </c>
      <c r="C6" s="25">
        <v>3</v>
      </c>
      <c r="D6" s="25">
        <v>7</v>
      </c>
      <c r="E6" s="25">
        <v>7</v>
      </c>
      <c r="F6" s="25">
        <v>7</v>
      </c>
      <c r="G6" s="25">
        <v>7</v>
      </c>
      <c r="H6" s="25">
        <v>0</v>
      </c>
      <c r="I6" s="26">
        <v>6.4344899999999994</v>
      </c>
      <c r="J6" s="26">
        <v>15.56058</v>
      </c>
      <c r="K6" s="26">
        <v>17.085249999999998</v>
      </c>
      <c r="L6" s="26">
        <v>19.630939999999999</v>
      </c>
      <c r="M6" s="26">
        <v>16.743929999999999</v>
      </c>
      <c r="N6" s="26">
        <v>0</v>
      </c>
      <c r="O6" s="26">
        <f>IF(C6="","",ROUND(SUM(I6:N6)/SUM(C6:H6),6))</f>
        <v>2.4340380000000001</v>
      </c>
    </row>
    <row r="7" spans="1:15" s="22" customFormat="1" ht="13" x14ac:dyDescent="0.3">
      <c r="B7" s="24">
        <v>44228</v>
      </c>
      <c r="C7" s="25">
        <v>7</v>
      </c>
      <c r="D7" s="25">
        <v>7</v>
      </c>
      <c r="E7" s="25">
        <v>7</v>
      </c>
      <c r="F7" s="25">
        <v>7</v>
      </c>
      <c r="G7" s="25">
        <v>0</v>
      </c>
      <c r="H7" s="25">
        <v>0</v>
      </c>
      <c r="I7" s="26">
        <v>16.862719999999999</v>
      </c>
      <c r="J7" s="26">
        <v>20.34956</v>
      </c>
      <c r="K7" s="26">
        <v>17.907889999999998</v>
      </c>
      <c r="L7" s="26">
        <v>19.184759999999997</v>
      </c>
      <c r="M7" s="26">
        <v>0</v>
      </c>
      <c r="N7" s="26">
        <v>0</v>
      </c>
      <c r="O7" s="26">
        <f t="shared" ref="O7:O16" si="0">IF(C7="","",ROUND(SUM(I7:N7)/SUM(C7:H7),6))</f>
        <v>2.6537480000000002</v>
      </c>
    </row>
    <row r="8" spans="1:15" s="22" customFormat="1" ht="13" x14ac:dyDescent="0.3">
      <c r="B8" s="24">
        <v>44256</v>
      </c>
      <c r="C8" s="25">
        <v>7</v>
      </c>
      <c r="D8" s="25">
        <v>7</v>
      </c>
      <c r="E8" s="25">
        <v>7</v>
      </c>
      <c r="F8" s="25">
        <v>7</v>
      </c>
      <c r="G8" s="25">
        <v>3</v>
      </c>
      <c r="H8" s="25">
        <v>0</v>
      </c>
      <c r="I8" s="26">
        <v>19.197219999999998</v>
      </c>
      <c r="J8" s="26">
        <v>22.154579999999999</v>
      </c>
      <c r="K8" s="26">
        <v>20.9223</v>
      </c>
      <c r="L8" s="26">
        <v>19.23845</v>
      </c>
      <c r="M8" s="26">
        <v>8.7172499999999999</v>
      </c>
      <c r="N8" s="26">
        <v>0</v>
      </c>
      <c r="O8" s="26">
        <f t="shared" si="0"/>
        <v>2.9106390000000002</v>
      </c>
    </row>
    <row r="9" spans="1:15" s="22" customFormat="1" ht="13" x14ac:dyDescent="0.3">
      <c r="B9" s="24">
        <v>44287</v>
      </c>
      <c r="C9" s="25">
        <v>4</v>
      </c>
      <c r="D9" s="25">
        <v>7</v>
      </c>
      <c r="E9" s="25">
        <v>7</v>
      </c>
      <c r="F9" s="25">
        <v>7</v>
      </c>
      <c r="G9" s="25">
        <v>5</v>
      </c>
      <c r="H9" s="25">
        <v>0</v>
      </c>
      <c r="I9" s="26">
        <v>11.622999999999999</v>
      </c>
      <c r="J9" s="26">
        <v>19.298299999999998</v>
      </c>
      <c r="K9" s="26">
        <v>19.45195</v>
      </c>
      <c r="L9" s="26">
        <v>23.013199999999998</v>
      </c>
      <c r="M9" s="26">
        <v>14.495899999999999</v>
      </c>
      <c r="N9" s="26">
        <v>0</v>
      </c>
      <c r="O9" s="26">
        <f t="shared" si="0"/>
        <v>2.9294120000000001</v>
      </c>
    </row>
    <row r="10" spans="1:15" s="22" customFormat="1" ht="13" x14ac:dyDescent="0.3">
      <c r="B10" s="24">
        <v>44317</v>
      </c>
      <c r="C10" s="25">
        <v>2</v>
      </c>
      <c r="D10" s="25">
        <v>7</v>
      </c>
      <c r="E10" s="25">
        <v>7</v>
      </c>
      <c r="F10" s="25">
        <v>7</v>
      </c>
      <c r="G10" s="25">
        <v>7</v>
      </c>
      <c r="H10" s="25">
        <v>1</v>
      </c>
      <c r="I10" s="26">
        <v>5.7983599999999997</v>
      </c>
      <c r="J10" s="26">
        <v>20.221530000000001</v>
      </c>
      <c r="K10" s="26">
        <v>20.035050000000002</v>
      </c>
      <c r="L10" s="26">
        <v>19.029149999999998</v>
      </c>
      <c r="M10" s="26">
        <v>19.094950000000001</v>
      </c>
      <c r="N10" s="26">
        <v>2.82761</v>
      </c>
      <c r="O10" s="26">
        <f t="shared" si="0"/>
        <v>2.8066659999999999</v>
      </c>
    </row>
    <row r="11" spans="1:15" s="22" customFormat="1" ht="13" x14ac:dyDescent="0.3">
      <c r="B11" s="24">
        <v>44348</v>
      </c>
      <c r="C11" s="25">
        <v>6</v>
      </c>
      <c r="D11" s="25">
        <v>7</v>
      </c>
      <c r="E11" s="25">
        <v>7</v>
      </c>
      <c r="F11" s="25">
        <v>7</v>
      </c>
      <c r="G11" s="25">
        <v>3</v>
      </c>
      <c r="H11" s="25">
        <v>0</v>
      </c>
      <c r="I11" s="26">
        <v>16.96566</v>
      </c>
      <c r="J11" s="26">
        <v>19.757639999999999</v>
      </c>
      <c r="K11" s="26">
        <v>18.370799999999999</v>
      </c>
      <c r="L11" s="26">
        <v>18.374089999999999</v>
      </c>
      <c r="M11" s="26">
        <v>8.1748500000000011</v>
      </c>
      <c r="N11" s="26">
        <v>0</v>
      </c>
      <c r="O11" s="26">
        <f t="shared" si="0"/>
        <v>2.721435</v>
      </c>
    </row>
    <row r="12" spans="1:15" s="22" customFormat="1" ht="13" x14ac:dyDescent="0.3">
      <c r="B12" s="24">
        <v>44378</v>
      </c>
      <c r="C12" s="25">
        <v>4</v>
      </c>
      <c r="D12" s="25">
        <v>7</v>
      </c>
      <c r="E12" s="25">
        <v>7</v>
      </c>
      <c r="F12" s="25">
        <v>7</v>
      </c>
      <c r="G12" s="25">
        <v>6</v>
      </c>
      <c r="H12" s="25">
        <v>0</v>
      </c>
      <c r="I12" s="26">
        <v>10.899800000000001</v>
      </c>
      <c r="J12" s="26">
        <v>19.859770000000001</v>
      </c>
      <c r="K12" s="26">
        <v>20.319110000000002</v>
      </c>
      <c r="L12" s="26">
        <v>19.03209</v>
      </c>
      <c r="M12" s="26">
        <v>17.227800000000002</v>
      </c>
      <c r="N12" s="26">
        <v>0</v>
      </c>
      <c r="O12" s="26">
        <f t="shared" si="0"/>
        <v>2.8173729999999999</v>
      </c>
    </row>
    <row r="13" spans="1:15" s="22" customFormat="1" ht="13" x14ac:dyDescent="0.3">
      <c r="B13" s="24">
        <v>44409</v>
      </c>
      <c r="C13" s="25">
        <v>1</v>
      </c>
      <c r="D13" s="25">
        <v>7</v>
      </c>
      <c r="E13" s="25">
        <v>7</v>
      </c>
      <c r="F13" s="25">
        <v>7</v>
      </c>
      <c r="G13" s="25">
        <v>7</v>
      </c>
      <c r="H13" s="25">
        <v>2</v>
      </c>
      <c r="I13" s="26">
        <v>2.8713000000000002</v>
      </c>
      <c r="J13" s="26">
        <v>20.203609999999998</v>
      </c>
      <c r="K13" s="26">
        <v>22.937110000000001</v>
      </c>
      <c r="L13" s="26">
        <v>19.524820000000002</v>
      </c>
      <c r="M13" s="26">
        <v>20.154679999999999</v>
      </c>
      <c r="N13" s="26">
        <v>5.72546</v>
      </c>
      <c r="O13" s="26">
        <f t="shared" si="0"/>
        <v>2.9489350000000001</v>
      </c>
    </row>
    <row r="14" spans="1:15" s="22" customFormat="1" ht="13" x14ac:dyDescent="0.3">
      <c r="B14" s="24">
        <v>44440</v>
      </c>
      <c r="C14" s="25">
        <v>5</v>
      </c>
      <c r="D14" s="25">
        <v>7</v>
      </c>
      <c r="E14" s="25">
        <v>7</v>
      </c>
      <c r="F14" s="25">
        <v>7</v>
      </c>
      <c r="G14" s="25">
        <v>4</v>
      </c>
      <c r="H14" s="25">
        <v>0</v>
      </c>
      <c r="I14" s="26">
        <v>14.313649999999999</v>
      </c>
      <c r="J14" s="26">
        <v>23.430889999999998</v>
      </c>
      <c r="K14" s="26">
        <v>22.0549</v>
      </c>
      <c r="L14" s="26">
        <v>21.98189</v>
      </c>
      <c r="M14" s="26">
        <v>14.48588</v>
      </c>
      <c r="N14" s="26">
        <v>0</v>
      </c>
      <c r="O14" s="26">
        <f t="shared" si="0"/>
        <v>3.208907</v>
      </c>
    </row>
    <row r="15" spans="1:15" s="22" customFormat="1" ht="13" x14ac:dyDescent="0.3">
      <c r="B15" s="24">
        <v>44470</v>
      </c>
      <c r="C15" s="25">
        <v>3</v>
      </c>
      <c r="D15" s="25">
        <v>7</v>
      </c>
      <c r="E15" s="25">
        <v>7</v>
      </c>
      <c r="F15" s="25">
        <v>7</v>
      </c>
      <c r="G15" s="25">
        <v>7</v>
      </c>
      <c r="H15" s="25">
        <v>0</v>
      </c>
      <c r="I15" s="26">
        <v>10.864409999999999</v>
      </c>
      <c r="J15" s="26">
        <v>23.856280000000002</v>
      </c>
      <c r="K15" s="26">
        <v>26.490310000000001</v>
      </c>
      <c r="L15" s="26">
        <v>24.371970000000001</v>
      </c>
      <c r="M15" s="26">
        <v>25.820969999999999</v>
      </c>
      <c r="N15" s="26">
        <v>0</v>
      </c>
      <c r="O15" s="26">
        <f t="shared" si="0"/>
        <v>3.5936750000000002</v>
      </c>
    </row>
    <row r="16" spans="1:15" s="22" customFormat="1" ht="13" x14ac:dyDescent="0.3">
      <c r="B16" s="24">
        <v>44501</v>
      </c>
      <c r="C16" s="25">
        <v>7</v>
      </c>
      <c r="D16" s="25">
        <v>7</v>
      </c>
      <c r="E16" s="25">
        <v>7</v>
      </c>
      <c r="F16" s="25">
        <v>7</v>
      </c>
      <c r="G16" s="25">
        <v>2</v>
      </c>
      <c r="H16" s="25">
        <v>0</v>
      </c>
      <c r="I16" s="26">
        <v>28.089179999999999</v>
      </c>
      <c r="J16" s="26">
        <v>24.91132</v>
      </c>
      <c r="K16" s="26">
        <v>26.722290000000001</v>
      </c>
      <c r="L16" s="26">
        <v>26.321400000000001</v>
      </c>
      <c r="M16" s="26">
        <v>6.8838200000000001</v>
      </c>
      <c r="N16" s="26">
        <v>0</v>
      </c>
      <c r="O16" s="26">
        <f t="shared" si="0"/>
        <v>3.7642669999999998</v>
      </c>
    </row>
    <row r="17" spans="2:15" s="22" customFormat="1" ht="13" x14ac:dyDescent="0.3">
      <c r="B17" s="24">
        <v>44531</v>
      </c>
      <c r="C17" s="25">
        <v>5</v>
      </c>
      <c r="D17" s="25">
        <v>7</v>
      </c>
      <c r="E17" s="25">
        <v>7</v>
      </c>
      <c r="F17" s="25">
        <v>7</v>
      </c>
      <c r="G17" s="25">
        <v>5</v>
      </c>
      <c r="H17" s="25">
        <v>0</v>
      </c>
      <c r="I17" s="26">
        <v>17.20955</v>
      </c>
      <c r="J17" s="26">
        <v>25.28519</v>
      </c>
      <c r="K17" s="26">
        <v>23.079139999999999</v>
      </c>
      <c r="L17" s="26">
        <v>25.28519</v>
      </c>
      <c r="M17" s="26">
        <v>17.539100000000001</v>
      </c>
      <c r="N17" s="26">
        <v>0</v>
      </c>
      <c r="O17" s="26">
        <f t="shared" ref="O17" si="1">IF(C17="","",ROUND(SUM(I17:N17)/SUM(C17:H17),6))</f>
        <v>3.496715</v>
      </c>
    </row>
    <row r="18" spans="2:15" s="22" customFormat="1" ht="13" x14ac:dyDescent="0.3">
      <c r="B18" s="24">
        <v>44562</v>
      </c>
      <c r="C18" s="25">
        <v>2</v>
      </c>
      <c r="D18" s="25">
        <v>7</v>
      </c>
      <c r="E18" s="25">
        <v>7</v>
      </c>
      <c r="F18" s="25">
        <v>7</v>
      </c>
      <c r="G18" s="25">
        <v>7</v>
      </c>
      <c r="H18" s="25">
        <v>1</v>
      </c>
      <c r="I18" s="26">
        <v>7.0156400000000003</v>
      </c>
      <c r="J18" s="26">
        <v>26.821480000000001</v>
      </c>
      <c r="K18" s="26">
        <v>25.769589999999997</v>
      </c>
      <c r="L18" s="26">
        <v>25.529420000000002</v>
      </c>
      <c r="M18" s="26">
        <v>28.836289999999998</v>
      </c>
      <c r="N18" s="26">
        <v>4.2257699999999998</v>
      </c>
      <c r="O18" s="26">
        <f t="shared" ref="O18:O26" si="2">IF(C18="","",ROUND(SUM(I18:N18)/SUM(C18:H18),6))</f>
        <v>3.8128449999999998</v>
      </c>
    </row>
    <row r="19" spans="2:15" s="22" customFormat="1" ht="13" x14ac:dyDescent="0.3">
      <c r="B19" s="24">
        <v>44593</v>
      </c>
      <c r="C19" s="25">
        <v>6</v>
      </c>
      <c r="D19" s="25">
        <v>7</v>
      </c>
      <c r="E19" s="25">
        <v>7</v>
      </c>
      <c r="F19" s="25">
        <v>7</v>
      </c>
      <c r="G19" s="25">
        <v>1</v>
      </c>
      <c r="H19" s="25">
        <v>0</v>
      </c>
      <c r="I19" s="26">
        <v>25.354619999999997</v>
      </c>
      <c r="J19" s="26">
        <v>27.277809999999999</v>
      </c>
      <c r="K19" s="26">
        <v>30.599449999999997</v>
      </c>
      <c r="L19" s="26">
        <v>28.2821</v>
      </c>
      <c r="M19" s="26">
        <v>4.85114</v>
      </c>
      <c r="N19" s="26">
        <v>0</v>
      </c>
      <c r="O19" s="26">
        <f t="shared" si="2"/>
        <v>4.1558970000000004</v>
      </c>
    </row>
    <row r="20" spans="2:15" s="22" customFormat="1" ht="13" x14ac:dyDescent="0.3">
      <c r="B20" s="24">
        <v>44621</v>
      </c>
      <c r="C20" s="25">
        <v>6</v>
      </c>
      <c r="D20" s="25">
        <v>7</v>
      </c>
      <c r="E20" s="25">
        <v>7</v>
      </c>
      <c r="F20" s="25">
        <v>7</v>
      </c>
      <c r="G20" s="25">
        <v>4</v>
      </c>
      <c r="H20" s="25">
        <v>0</v>
      </c>
      <c r="I20" s="26">
        <v>29.106839999999998</v>
      </c>
      <c r="J20" s="26">
        <v>33.957979999999999</v>
      </c>
      <c r="K20" s="26">
        <v>30.42333</v>
      </c>
      <c r="L20" s="26">
        <v>33.492269999999998</v>
      </c>
      <c r="M20" s="26">
        <v>16.809280000000001</v>
      </c>
      <c r="N20" s="26">
        <v>0</v>
      </c>
      <c r="O20" s="26">
        <f t="shared" si="2"/>
        <v>4.6383770000000002</v>
      </c>
    </row>
    <row r="21" spans="2:15" s="22" customFormat="1" ht="13" x14ac:dyDescent="0.3">
      <c r="B21" s="24">
        <v>44652</v>
      </c>
      <c r="C21" s="25">
        <v>3</v>
      </c>
      <c r="D21" s="25">
        <v>7</v>
      </c>
      <c r="E21" s="25">
        <v>7</v>
      </c>
      <c r="F21" s="25">
        <v>7</v>
      </c>
      <c r="G21" s="25">
        <v>6</v>
      </c>
      <c r="H21" s="25">
        <v>0</v>
      </c>
      <c r="I21" s="26">
        <v>12.606960000000001</v>
      </c>
      <c r="J21" s="26">
        <v>29.863750000000003</v>
      </c>
      <c r="K21" s="26">
        <v>27.560680000000001</v>
      </c>
      <c r="L21" s="26">
        <v>29.863750000000003</v>
      </c>
      <c r="M21" s="26">
        <v>23.64282</v>
      </c>
      <c r="N21" s="26">
        <v>0</v>
      </c>
      <c r="O21" s="26">
        <f t="shared" si="2"/>
        <v>4.1179319999999997</v>
      </c>
    </row>
    <row r="22" spans="2:15" s="22" customFormat="1" ht="13" x14ac:dyDescent="0.3">
      <c r="B22" s="24">
        <v>44682</v>
      </c>
      <c r="C22" s="25">
        <v>1</v>
      </c>
      <c r="D22" s="25">
        <v>7</v>
      </c>
      <c r="E22" s="25">
        <v>7</v>
      </c>
      <c r="F22" s="25">
        <v>7</v>
      </c>
      <c r="G22" s="25">
        <v>7</v>
      </c>
      <c r="H22" s="25">
        <v>2</v>
      </c>
      <c r="I22" s="26">
        <v>3.9404699999999999</v>
      </c>
      <c r="J22" s="26">
        <v>28.649529999999999</v>
      </c>
      <c r="K22" s="26">
        <v>31.91517</v>
      </c>
      <c r="L22" s="26">
        <v>29.5547</v>
      </c>
      <c r="M22" s="26">
        <v>29.658790000000003</v>
      </c>
      <c r="N22" s="26">
        <v>8.9146000000000001</v>
      </c>
      <c r="O22" s="26">
        <f t="shared" si="2"/>
        <v>4.278492</v>
      </c>
    </row>
    <row r="23" spans="2:15" s="22" customFormat="1" ht="13" x14ac:dyDescent="0.3">
      <c r="B23" s="24">
        <v>44713</v>
      </c>
      <c r="C23" s="25">
        <v>5</v>
      </c>
      <c r="D23" s="25">
        <v>7</v>
      </c>
      <c r="E23" s="25">
        <v>7</v>
      </c>
      <c r="F23" s="25">
        <v>7</v>
      </c>
      <c r="G23" s="25">
        <v>4</v>
      </c>
      <c r="H23" s="25">
        <v>0</v>
      </c>
      <c r="I23" s="26">
        <v>22.2865</v>
      </c>
      <c r="J23" s="26">
        <v>31.83831</v>
      </c>
      <c r="K23" s="26">
        <v>30.865449999999999</v>
      </c>
      <c r="L23" s="26">
        <v>32.207000000000001</v>
      </c>
      <c r="M23" s="26">
        <v>18.45252</v>
      </c>
      <c r="N23" s="26">
        <v>0</v>
      </c>
      <c r="O23" s="26">
        <f t="shared" si="2"/>
        <v>4.5216589999999997</v>
      </c>
    </row>
    <row r="24" spans="2:15" s="22" customFormat="1" ht="13" x14ac:dyDescent="0.3">
      <c r="B24" s="24">
        <v>44743</v>
      </c>
      <c r="C24" s="25">
        <v>3</v>
      </c>
      <c r="D24" s="25">
        <v>7</v>
      </c>
      <c r="E24" s="25">
        <v>7</v>
      </c>
      <c r="F24" s="25">
        <v>7</v>
      </c>
      <c r="G24" s="25">
        <v>7</v>
      </c>
      <c r="H24" s="25">
        <v>0</v>
      </c>
      <c r="I24" s="26">
        <v>13.83939</v>
      </c>
      <c r="J24" s="26">
        <v>33.874609999999997</v>
      </c>
      <c r="K24" s="26">
        <v>30.934469999999997</v>
      </c>
      <c r="L24" s="26">
        <v>32.076520000000002</v>
      </c>
      <c r="M24" s="26">
        <v>32.05594</v>
      </c>
      <c r="N24" s="26">
        <v>0</v>
      </c>
      <c r="O24" s="26">
        <f t="shared" si="2"/>
        <v>4.605836</v>
      </c>
    </row>
    <row r="25" spans="2:15" s="22" customFormat="1" ht="13" x14ac:dyDescent="0.3">
      <c r="B25" s="24">
        <v>44774</v>
      </c>
      <c r="C25" s="25">
        <v>7</v>
      </c>
      <c r="D25" s="25">
        <v>7</v>
      </c>
      <c r="E25" s="25">
        <v>7</v>
      </c>
      <c r="F25" s="25">
        <v>7</v>
      </c>
      <c r="G25" s="25">
        <v>3</v>
      </c>
      <c r="H25" s="25">
        <v>0</v>
      </c>
      <c r="I25" s="26">
        <v>30.543310000000002</v>
      </c>
      <c r="J25" s="26">
        <v>27.173860000000001</v>
      </c>
      <c r="K25" s="26">
        <v>28.850780000000004</v>
      </c>
      <c r="L25" s="26">
        <v>28.419440000000002</v>
      </c>
      <c r="M25" s="26">
        <v>12.68088</v>
      </c>
      <c r="N25" s="26">
        <v>0</v>
      </c>
      <c r="O25" s="26">
        <f t="shared" si="2"/>
        <v>4.1183310000000004</v>
      </c>
    </row>
    <row r="26" spans="2:15" s="22" customFormat="1" ht="13" x14ac:dyDescent="0.3">
      <c r="B26" s="24">
        <v>44805</v>
      </c>
      <c r="C26" s="25">
        <v>4</v>
      </c>
      <c r="D26" s="25">
        <v>7</v>
      </c>
      <c r="E26" s="25">
        <v>7</v>
      </c>
      <c r="F26" s="25">
        <v>7</v>
      </c>
      <c r="G26" s="25">
        <v>5</v>
      </c>
      <c r="H26" s="25">
        <v>0</v>
      </c>
      <c r="I26" s="26">
        <v>16.90784</v>
      </c>
      <c r="J26" s="26">
        <v>27.04562</v>
      </c>
      <c r="K26" s="26">
        <v>26.453980000000001</v>
      </c>
      <c r="L26" s="26">
        <v>26.480790000000002</v>
      </c>
      <c r="M26" s="26">
        <v>19.620950000000001</v>
      </c>
      <c r="N26" s="26">
        <v>0</v>
      </c>
      <c r="O26" s="26">
        <f t="shared" si="2"/>
        <v>3.8836390000000001</v>
      </c>
    </row>
    <row r="27" spans="2:15" s="22" customFormat="1" ht="13" x14ac:dyDescent="0.3">
      <c r="B27" s="24">
        <v>44835</v>
      </c>
      <c r="C27" s="25">
        <v>2</v>
      </c>
      <c r="D27" s="25">
        <v>7</v>
      </c>
      <c r="E27" s="25">
        <v>7</v>
      </c>
      <c r="F27" s="25">
        <v>7</v>
      </c>
      <c r="G27" s="25">
        <v>7</v>
      </c>
      <c r="H27" s="25">
        <v>1</v>
      </c>
      <c r="I27" s="26">
        <v>7.8483799999999997</v>
      </c>
      <c r="J27" s="26">
        <v>0</v>
      </c>
      <c r="K27" s="26">
        <v>0</v>
      </c>
      <c r="L27" s="26">
        <v>0</v>
      </c>
      <c r="M27" s="26">
        <v>0</v>
      </c>
      <c r="N27" s="26">
        <v>4.0266900000000003</v>
      </c>
      <c r="O27" s="26">
        <f>ROUND(SUM(I27:N27)/SUMIF(I27:N27,"&gt;"&amp;0,C27:H27),6)</f>
        <v>3.9583569999999999</v>
      </c>
    </row>
    <row r="28" spans="2:15" s="22" customFormat="1" ht="13" x14ac:dyDescent="0.3">
      <c r="B28" s="24">
        <v>44866</v>
      </c>
      <c r="C28" s="25">
        <v>6</v>
      </c>
      <c r="D28" s="25">
        <v>7</v>
      </c>
      <c r="E28" s="25">
        <v>7</v>
      </c>
      <c r="F28" s="25">
        <v>7</v>
      </c>
      <c r="G28" s="25">
        <v>3</v>
      </c>
      <c r="H28" s="25">
        <v>0</v>
      </c>
      <c r="I28" s="26">
        <v>24.160140000000002</v>
      </c>
      <c r="J28" s="26">
        <v>27.242180000000001</v>
      </c>
      <c r="K28" s="26">
        <v>28.940239999999999</v>
      </c>
      <c r="L28" s="26">
        <v>25.53999</v>
      </c>
      <c r="M28" s="26">
        <v>12.338429999999999</v>
      </c>
      <c r="N28" s="26">
        <v>0</v>
      </c>
      <c r="O28" s="26">
        <f>ROUND(SUM(I28:N28)/SUMIF(I28:N28,"&gt;"&amp;0,C28:H28),6)</f>
        <v>3.940699</v>
      </c>
    </row>
    <row r="29" spans="2:15" s="22" customFormat="1" ht="13" x14ac:dyDescent="0.3">
      <c r="B29" s="24">
        <v>44896</v>
      </c>
      <c r="C29" s="25">
        <v>4</v>
      </c>
      <c r="D29" s="25">
        <v>7</v>
      </c>
      <c r="E29" s="25">
        <v>7</v>
      </c>
      <c r="F29" s="25">
        <v>7</v>
      </c>
      <c r="G29" s="25">
        <v>6</v>
      </c>
      <c r="H29" s="25">
        <v>0</v>
      </c>
      <c r="I29" s="26">
        <v>16.451239999999999</v>
      </c>
      <c r="J29" s="26">
        <v>31.859940000000002</v>
      </c>
      <c r="K29" s="26">
        <v>31.859869999999997</v>
      </c>
      <c r="L29" s="26">
        <v>28.533609999999999</v>
      </c>
      <c r="M29" s="26">
        <v>24.457380000000001</v>
      </c>
      <c r="N29" s="26">
        <v>0</v>
      </c>
      <c r="O29" s="26">
        <f t="shared" ref="O29:O40" si="3">ROUND(SUM(I29:N29)/SUMIF(I29:N29,"&gt;"&amp;0,C29:H29),6)</f>
        <v>4.2955500000000004</v>
      </c>
    </row>
    <row r="30" spans="2:15" s="22" customFormat="1" ht="13" x14ac:dyDescent="0.3">
      <c r="B30" s="24">
        <v>44927</v>
      </c>
      <c r="C30" s="25">
        <v>1</v>
      </c>
      <c r="D30" s="25">
        <v>7</v>
      </c>
      <c r="E30" s="25">
        <v>7</v>
      </c>
      <c r="F30" s="25">
        <v>7</v>
      </c>
      <c r="G30" s="25">
        <v>7</v>
      </c>
      <c r="H30" s="25">
        <v>2</v>
      </c>
      <c r="I30" s="26">
        <v>4.0762299999999998</v>
      </c>
      <c r="J30" s="26">
        <v>38.853500000000004</v>
      </c>
      <c r="K30" s="26">
        <v>38.85</v>
      </c>
      <c r="L30" s="26">
        <v>38.85</v>
      </c>
      <c r="M30" s="26">
        <v>35.434000000000005</v>
      </c>
      <c r="N30" s="26">
        <v>10.103999999999999</v>
      </c>
      <c r="O30" s="26">
        <f t="shared" si="3"/>
        <v>5.3602489999999996</v>
      </c>
    </row>
    <row r="31" spans="2:15" s="22" customFormat="1" ht="13" x14ac:dyDescent="0.3">
      <c r="B31" s="24">
        <v>44958</v>
      </c>
      <c r="C31" s="25">
        <v>5</v>
      </c>
      <c r="D31" s="25">
        <v>7</v>
      </c>
      <c r="E31" s="25">
        <v>7</v>
      </c>
      <c r="F31" s="25">
        <v>7</v>
      </c>
      <c r="G31" s="25">
        <v>2</v>
      </c>
      <c r="H31" s="25">
        <v>0</v>
      </c>
      <c r="I31" s="26">
        <v>25.259999999999998</v>
      </c>
      <c r="J31" s="26">
        <v>31.108000000000001</v>
      </c>
      <c r="K31" s="26">
        <v>31.100999999999999</v>
      </c>
      <c r="L31" s="26">
        <v>28.581000000000003</v>
      </c>
      <c r="M31" s="26">
        <v>8.7859999999999996</v>
      </c>
      <c r="N31" s="26">
        <v>0</v>
      </c>
      <c r="O31" s="26">
        <f t="shared" si="3"/>
        <v>4.4584289999999998</v>
      </c>
    </row>
    <row r="32" spans="2:15" s="22" customFormat="1" ht="13" x14ac:dyDescent="0.3">
      <c r="B32" s="24">
        <v>44986</v>
      </c>
      <c r="C32" s="25">
        <v>5</v>
      </c>
      <c r="D32" s="25">
        <v>7</v>
      </c>
      <c r="E32" s="25">
        <v>7</v>
      </c>
      <c r="F32" s="25">
        <v>7</v>
      </c>
      <c r="G32" s="25">
        <v>5</v>
      </c>
      <c r="H32" s="25">
        <v>0</v>
      </c>
      <c r="I32" s="26">
        <v>21.965</v>
      </c>
      <c r="J32" s="26">
        <v>33.879999999999995</v>
      </c>
      <c r="K32" s="26">
        <v>33.621000000000002</v>
      </c>
      <c r="L32" s="26">
        <v>33.606999999999999</v>
      </c>
      <c r="M32" s="26">
        <v>20.414999999999999</v>
      </c>
      <c r="N32" s="26">
        <v>0</v>
      </c>
      <c r="O32" s="26">
        <f t="shared" si="3"/>
        <v>4.6286449999999997</v>
      </c>
    </row>
    <row r="33" spans="2:15" s="22" customFormat="1" ht="13" x14ac:dyDescent="0.3">
      <c r="B33" s="24">
        <v>45017</v>
      </c>
      <c r="C33" s="25">
        <v>2</v>
      </c>
      <c r="D33" s="25">
        <v>7</v>
      </c>
      <c r="E33" s="25">
        <v>7</v>
      </c>
      <c r="F33" s="25">
        <v>7</v>
      </c>
      <c r="G33" s="25">
        <v>7</v>
      </c>
      <c r="H33" s="25">
        <v>0</v>
      </c>
      <c r="I33" s="26">
        <v>8.1660000000000004</v>
      </c>
      <c r="J33" s="26">
        <v>30.820999999999998</v>
      </c>
      <c r="K33" s="26">
        <v>34.460999999999999</v>
      </c>
      <c r="L33" s="26">
        <v>34.468000000000004</v>
      </c>
      <c r="M33" s="26">
        <v>28.119000000000003</v>
      </c>
      <c r="N33" s="26">
        <v>0</v>
      </c>
      <c r="O33" s="26">
        <f t="shared" si="3"/>
        <v>4.5345000000000004</v>
      </c>
    </row>
    <row r="34" spans="2:15" s="22" customFormat="1" ht="13" x14ac:dyDescent="0.3">
      <c r="B34" s="24">
        <v>45047</v>
      </c>
      <c r="C34" s="25">
        <v>7</v>
      </c>
      <c r="D34" s="25">
        <v>7</v>
      </c>
      <c r="E34" s="25">
        <v>7</v>
      </c>
      <c r="F34" s="25">
        <v>7</v>
      </c>
      <c r="G34" s="25">
        <v>3</v>
      </c>
      <c r="H34" s="25">
        <v>0</v>
      </c>
      <c r="I34" s="26">
        <v>28.119000000000003</v>
      </c>
      <c r="J34" s="26">
        <v>29.798999999999999</v>
      </c>
      <c r="K34" s="26">
        <v>30.512999999999998</v>
      </c>
      <c r="L34" s="26">
        <v>28.552999999999997</v>
      </c>
      <c r="M34" s="26">
        <v>11.358000000000001</v>
      </c>
      <c r="N34" s="26">
        <v>0</v>
      </c>
      <c r="O34" s="26">
        <f t="shared" si="3"/>
        <v>4.1400649999999999</v>
      </c>
    </row>
    <row r="35" spans="2:15" s="22" customFormat="1" ht="13" x14ac:dyDescent="0.3">
      <c r="B35" s="24">
        <v>45078</v>
      </c>
      <c r="C35" s="25">
        <v>4</v>
      </c>
      <c r="D35" s="25">
        <v>7</v>
      </c>
      <c r="E35" s="25">
        <v>7</v>
      </c>
      <c r="F35" s="25">
        <v>7</v>
      </c>
      <c r="G35" s="25">
        <v>5</v>
      </c>
      <c r="H35" s="25">
        <v>0</v>
      </c>
      <c r="I35" s="26">
        <v>15.144</v>
      </c>
      <c r="J35" s="26">
        <v>22.875999999999998</v>
      </c>
      <c r="K35" s="26">
        <v>22.372</v>
      </c>
      <c r="L35" s="26">
        <v>19.40428</v>
      </c>
      <c r="M35" s="26">
        <v>15.914999999999999</v>
      </c>
      <c r="N35" s="26">
        <v>0</v>
      </c>
      <c r="O35" s="26">
        <v>3.1903760000000001</v>
      </c>
    </row>
    <row r="36" spans="2:15" s="22" customFormat="1" ht="13" x14ac:dyDescent="0.3">
      <c r="B36" s="24">
        <v>45108</v>
      </c>
      <c r="C36" s="25">
        <v>2</v>
      </c>
      <c r="D36" s="25">
        <v>7</v>
      </c>
      <c r="E36" s="25">
        <v>7</v>
      </c>
      <c r="F36" s="25">
        <v>7</v>
      </c>
      <c r="G36" s="25">
        <v>7</v>
      </c>
      <c r="H36" s="25">
        <v>1</v>
      </c>
      <c r="I36" s="26">
        <v>6.3659999999999997</v>
      </c>
      <c r="J36" s="26">
        <v>22.26</v>
      </c>
      <c r="K36" s="26">
        <v>19.564859999999999</v>
      </c>
      <c r="L36" s="26">
        <v>20.924933750000001</v>
      </c>
      <c r="M36" s="26">
        <v>20.160769999999999</v>
      </c>
      <c r="N36" s="26">
        <v>3.391</v>
      </c>
      <c r="O36" s="26">
        <v>2.9892759999999998</v>
      </c>
    </row>
    <row r="37" spans="2:15" s="27" customFormat="1" ht="14" x14ac:dyDescent="0.3">
      <c r="B37" s="24">
        <v>45139</v>
      </c>
      <c r="C37" s="25">
        <v>6</v>
      </c>
      <c r="D37" s="25">
        <v>7</v>
      </c>
      <c r="E37" s="25">
        <v>7</v>
      </c>
      <c r="F37" s="25">
        <v>7</v>
      </c>
      <c r="G37" s="25">
        <v>4</v>
      </c>
      <c r="H37" s="25">
        <v>0</v>
      </c>
      <c r="I37" s="26">
        <v>20.346</v>
      </c>
      <c r="J37" s="26">
        <v>22.39132</v>
      </c>
      <c r="K37" s="26">
        <v>24.577000000000002</v>
      </c>
      <c r="L37" s="26">
        <v>22.388590000000001</v>
      </c>
      <c r="M37" s="26">
        <v>12.8184</v>
      </c>
      <c r="N37" s="26">
        <v>0</v>
      </c>
      <c r="O37" s="26">
        <v>3.3071389999999998</v>
      </c>
    </row>
    <row r="38" spans="2:15" s="27" customFormat="1" ht="14" x14ac:dyDescent="0.3">
      <c r="B38" s="24">
        <v>45170</v>
      </c>
      <c r="C38" s="25">
        <v>3</v>
      </c>
      <c r="D38" s="25">
        <v>7</v>
      </c>
      <c r="E38" s="25">
        <v>7</v>
      </c>
      <c r="F38" s="25">
        <v>7</v>
      </c>
      <c r="G38" s="25">
        <v>6</v>
      </c>
      <c r="H38" s="25">
        <v>0</v>
      </c>
      <c r="I38" s="26">
        <v>9.6138000000000012</v>
      </c>
      <c r="J38" s="26">
        <v>22.393350000000002</v>
      </c>
      <c r="K38" s="26">
        <v>27.390999999999998</v>
      </c>
      <c r="L38" s="26">
        <v>23.79447</v>
      </c>
      <c r="M38" s="26">
        <v>20.412119999999998</v>
      </c>
      <c r="N38" s="26">
        <v>0</v>
      </c>
      <c r="O38" s="26">
        <f t="shared" si="3"/>
        <v>3.4534910000000001</v>
      </c>
    </row>
    <row r="39" spans="2:15" s="27" customFormat="1" ht="14" x14ac:dyDescent="0.3">
      <c r="B39" s="24">
        <v>45200</v>
      </c>
      <c r="C39" s="25">
        <v>1</v>
      </c>
      <c r="D39" s="25">
        <v>7</v>
      </c>
      <c r="E39" s="25">
        <v>7</v>
      </c>
      <c r="F39" s="25">
        <v>7</v>
      </c>
      <c r="G39" s="25">
        <v>7</v>
      </c>
      <c r="H39" s="25">
        <v>2</v>
      </c>
      <c r="I39" s="26">
        <v>3.4020199999999998</v>
      </c>
      <c r="J39" s="26">
        <v>26.74</v>
      </c>
      <c r="K39" s="26">
        <v>23.179729999999999</v>
      </c>
      <c r="L39" s="26">
        <v>26.376139999999999</v>
      </c>
      <c r="M39" s="26">
        <v>29.274000000000001</v>
      </c>
      <c r="N39" s="26">
        <v>7.2483599999999999</v>
      </c>
      <c r="O39" s="26">
        <f t="shared" si="3"/>
        <v>3.7490399999999999</v>
      </c>
    </row>
    <row r="40" spans="2:15" s="27" customFormat="1" ht="14" x14ac:dyDescent="0.3">
      <c r="B40" s="24">
        <v>45231</v>
      </c>
      <c r="C40" s="25">
        <v>5</v>
      </c>
      <c r="D40" s="25">
        <v>7</v>
      </c>
      <c r="E40" s="25">
        <v>7</v>
      </c>
      <c r="F40" s="25">
        <v>7</v>
      </c>
      <c r="G40" s="25">
        <v>4</v>
      </c>
      <c r="H40" s="25">
        <v>0</v>
      </c>
      <c r="I40" s="26">
        <v>18.120899999999999</v>
      </c>
      <c r="J40" s="26">
        <v>27.552</v>
      </c>
      <c r="K40" s="26">
        <v>26.256999999999998</v>
      </c>
      <c r="L40" s="26">
        <v>23.368169999999999</v>
      </c>
      <c r="M40" s="26">
        <v>13.365</v>
      </c>
      <c r="N40" s="26">
        <v>0</v>
      </c>
      <c r="O40" s="26">
        <f t="shared" si="3"/>
        <v>3.6221019999999999</v>
      </c>
    </row>
    <row r="41" spans="2:15" s="27" customFormat="1" ht="14" x14ac:dyDescent="0.3">
      <c r="B41" s="24">
        <v>45261</v>
      </c>
      <c r="C41" s="25">
        <v>3</v>
      </c>
      <c r="D41" s="25">
        <v>7</v>
      </c>
      <c r="E41" s="25">
        <v>7</v>
      </c>
      <c r="F41" s="25">
        <v>7</v>
      </c>
      <c r="G41" s="25">
        <v>7</v>
      </c>
      <c r="H41" s="25">
        <v>0</v>
      </c>
      <c r="I41" s="26">
        <v>10.02375</v>
      </c>
      <c r="J41" s="26">
        <v>26.012</v>
      </c>
      <c r="K41" s="26">
        <v>23.110499999999998</v>
      </c>
      <c r="L41" s="26">
        <v>25.241999999999997</v>
      </c>
      <c r="M41" s="26">
        <v>24.891999999999999</v>
      </c>
      <c r="N41" s="26">
        <v>0</v>
      </c>
      <c r="O41" s="26">
        <v>3.525169</v>
      </c>
    </row>
    <row r="42" spans="2:15" s="27" customFormat="1" ht="14" x14ac:dyDescent="0.3"/>
    <row r="43" spans="2:15" s="27" customFormat="1" ht="14" x14ac:dyDescent="0.3">
      <c r="B43" s="27" t="s">
        <v>59</v>
      </c>
      <c r="C43" s="28" t="s">
        <v>67</v>
      </c>
    </row>
    <row r="44" spans="2:15" s="27" customFormat="1" ht="14" x14ac:dyDescent="0.3">
      <c r="B44" s="27" t="s">
        <v>68</v>
      </c>
      <c r="C44" s="27" t="s">
        <v>69</v>
      </c>
    </row>
    <row r="45" spans="2:15" s="27" customFormat="1" ht="14" x14ac:dyDescent="0.3">
      <c r="B45" s="27" t="s">
        <v>60</v>
      </c>
      <c r="C45" s="27" t="s">
        <v>61</v>
      </c>
    </row>
    <row r="46" spans="2:15" x14ac:dyDescent="0.35">
      <c r="B46" s="27" t="s">
        <v>62</v>
      </c>
      <c r="C46" s="27" t="s">
        <v>63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</sheetData>
  <mergeCells count="5">
    <mergeCell ref="B4:B5"/>
    <mergeCell ref="C4:H4"/>
    <mergeCell ref="I4:N4"/>
    <mergeCell ref="O4:O5"/>
    <mergeCell ref="E2:O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79B9-6D98-4464-A87C-BA7FFFEDA5C5}">
  <dimension ref="B2:N46"/>
  <sheetViews>
    <sheetView showGridLines="0" zoomScale="85" zoomScaleNormal="85" workbookViewId="0">
      <selection activeCell="M17" sqref="M17"/>
    </sheetView>
  </sheetViews>
  <sheetFormatPr defaultColWidth="9.26953125" defaultRowHeight="14.5" x14ac:dyDescent="0.35"/>
  <cols>
    <col min="1" max="1" width="3.26953125" style="18" customWidth="1"/>
    <col min="2" max="2" width="11.7265625" style="18" customWidth="1"/>
    <col min="3" max="14" width="13.26953125" style="18" customWidth="1"/>
    <col min="15" max="16384" width="9.26953125" style="18"/>
  </cols>
  <sheetData>
    <row r="2" spans="2:14" s="30" customFormat="1" ht="50.15" customHeight="1" x14ac:dyDescent="0.35">
      <c r="D2" s="82" t="s">
        <v>23</v>
      </c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2:14" s="15" customFormat="1" ht="15.5" x14ac:dyDescent="0.35">
      <c r="E3" s="16"/>
      <c r="F3" s="16"/>
      <c r="G3" s="17"/>
      <c r="H3" s="16"/>
    </row>
    <row r="4" spans="2:14" x14ac:dyDescent="0.35">
      <c r="B4" s="35" t="s">
        <v>24</v>
      </c>
      <c r="C4" s="36" t="s">
        <v>25</v>
      </c>
      <c r="D4" s="36" t="s">
        <v>26</v>
      </c>
      <c r="E4" s="36" t="s">
        <v>27</v>
      </c>
      <c r="F4" s="36" t="s">
        <v>28</v>
      </c>
      <c r="G4" s="36" t="s">
        <v>29</v>
      </c>
      <c r="H4" s="36" t="s">
        <v>30</v>
      </c>
      <c r="I4" s="36" t="s">
        <v>31</v>
      </c>
      <c r="J4" s="36" t="s">
        <v>32</v>
      </c>
      <c r="K4" s="36" t="s">
        <v>33</v>
      </c>
      <c r="L4" s="36" t="s">
        <v>34</v>
      </c>
      <c r="M4" s="36" t="s">
        <v>35</v>
      </c>
      <c r="N4" s="36" t="s">
        <v>36</v>
      </c>
    </row>
    <row r="5" spans="2:14" x14ac:dyDescent="0.35">
      <c r="B5" s="37">
        <v>2011</v>
      </c>
      <c r="C5" s="38">
        <v>3222.42</v>
      </c>
      <c r="D5" s="39">
        <v>3248.2</v>
      </c>
      <c r="E5" s="38">
        <v>3273.86</v>
      </c>
      <c r="F5" s="39">
        <v>3299.07</v>
      </c>
      <c r="G5" s="38">
        <v>3314.58</v>
      </c>
      <c r="H5" s="39">
        <v>3319.55</v>
      </c>
      <c r="I5" s="38">
        <v>3324.86</v>
      </c>
      <c r="J5" s="39">
        <v>3337.16</v>
      </c>
      <c r="K5" s="38">
        <v>3354.85</v>
      </c>
      <c r="L5" s="39">
        <v>3369.28</v>
      </c>
      <c r="M5" s="38">
        <v>3386.8</v>
      </c>
      <c r="N5" s="39">
        <v>3403.73</v>
      </c>
    </row>
    <row r="6" spans="2:14" x14ac:dyDescent="0.35">
      <c r="B6" s="37">
        <v>2012</v>
      </c>
      <c r="C6" s="38">
        <v>3422.79</v>
      </c>
      <c r="D6" s="39">
        <v>3438.19</v>
      </c>
      <c r="E6" s="38">
        <v>3445.41</v>
      </c>
      <c r="F6" s="39">
        <v>3467.46</v>
      </c>
      <c r="G6" s="38">
        <v>3479.94</v>
      </c>
      <c r="H6" s="39">
        <v>3482.72</v>
      </c>
      <c r="I6" s="38">
        <v>3497.7</v>
      </c>
      <c r="J6" s="39">
        <v>3512.04</v>
      </c>
      <c r="K6" s="38">
        <v>3532.06</v>
      </c>
      <c r="L6" s="39">
        <v>3552.9</v>
      </c>
      <c r="M6" s="38">
        <v>3574.22</v>
      </c>
      <c r="N6" s="39">
        <v>3602.46</v>
      </c>
    </row>
    <row r="7" spans="2:14" x14ac:dyDescent="0.35">
      <c r="B7" s="37">
        <v>2013</v>
      </c>
      <c r="C7" s="38">
        <v>3633.44</v>
      </c>
      <c r="D7" s="39">
        <v>3655.24</v>
      </c>
      <c r="E7" s="38">
        <v>3672.42</v>
      </c>
      <c r="F7" s="39">
        <v>3692.62</v>
      </c>
      <c r="G7" s="38">
        <v>3706.28</v>
      </c>
      <c r="H7" s="39">
        <v>3715.92</v>
      </c>
      <c r="I7" s="38">
        <v>3717.03</v>
      </c>
      <c r="J7" s="39">
        <v>3725.95</v>
      </c>
      <c r="K7" s="38">
        <v>3738.99</v>
      </c>
      <c r="L7" s="39">
        <v>3760.3</v>
      </c>
      <c r="M7" s="38">
        <v>3780.61</v>
      </c>
      <c r="N7" s="39">
        <v>3815.39</v>
      </c>
    </row>
    <row r="8" spans="2:14" x14ac:dyDescent="0.35">
      <c r="B8" s="37">
        <v>2014</v>
      </c>
      <c r="C8" s="38">
        <v>3836.37</v>
      </c>
      <c r="D8" s="39">
        <v>3862.84</v>
      </c>
      <c r="E8" s="38">
        <v>3898.38</v>
      </c>
      <c r="F8" s="39">
        <v>3924.5</v>
      </c>
      <c r="G8" s="38">
        <v>3942.55</v>
      </c>
      <c r="H8" s="39">
        <v>3958.32</v>
      </c>
      <c r="I8" s="38">
        <v>3958.72</v>
      </c>
      <c r="J8" s="39">
        <v>3968.62</v>
      </c>
      <c r="K8" s="38">
        <v>3991.24</v>
      </c>
      <c r="L8" s="39">
        <v>4008</v>
      </c>
      <c r="M8" s="38">
        <v>4028.44</v>
      </c>
      <c r="N8" s="39">
        <v>4059.86</v>
      </c>
    </row>
    <row r="9" spans="2:14" x14ac:dyDescent="0.35">
      <c r="B9" s="37">
        <v>2015</v>
      </c>
      <c r="C9" s="38">
        <v>4110.2</v>
      </c>
      <c r="D9" s="39">
        <v>4160.34</v>
      </c>
      <c r="E9" s="38">
        <v>4215.26</v>
      </c>
      <c r="F9" s="39">
        <v>4245.1899999999996</v>
      </c>
      <c r="G9" s="38">
        <v>4276.6000000000004</v>
      </c>
      <c r="H9" s="39">
        <v>4310.3900000000003</v>
      </c>
      <c r="I9" s="38">
        <v>4337.1099999999997</v>
      </c>
      <c r="J9" s="39">
        <v>4346.6499999999996</v>
      </c>
      <c r="K9" s="38">
        <v>4370.12</v>
      </c>
      <c r="L9" s="39">
        <v>4405.95</v>
      </c>
      <c r="M9" s="38">
        <v>4450.45</v>
      </c>
      <c r="N9" s="39">
        <v>4493.17</v>
      </c>
    </row>
    <row r="10" spans="2:14" x14ac:dyDescent="0.35">
      <c r="B10" s="37">
        <v>2016</v>
      </c>
      <c r="C10" s="38">
        <v>4550.2299999999996</v>
      </c>
      <c r="D10" s="39">
        <v>4591.18</v>
      </c>
      <c r="E10" s="38">
        <v>4610.92</v>
      </c>
      <c r="F10" s="39">
        <v>4639.05</v>
      </c>
      <c r="G10" s="38">
        <v>4675.2299999999996</v>
      </c>
      <c r="H10" s="39">
        <v>4691.59</v>
      </c>
      <c r="I10" s="38">
        <v>4715.99</v>
      </c>
      <c r="J10" s="39">
        <v>4736.74</v>
      </c>
      <c r="K10" s="38">
        <v>4740.53</v>
      </c>
      <c r="L10" s="39">
        <v>4752.8599999999997</v>
      </c>
      <c r="M10" s="38">
        <v>4761.42</v>
      </c>
      <c r="N10" s="39">
        <v>4775.7</v>
      </c>
    </row>
    <row r="11" spans="2:14" x14ac:dyDescent="0.35">
      <c r="B11" s="37">
        <v>2017</v>
      </c>
      <c r="C11" s="38">
        <v>4793.8500000000004</v>
      </c>
      <c r="D11" s="39">
        <v>4809.67</v>
      </c>
      <c r="E11" s="38">
        <v>4821.6899999999996</v>
      </c>
      <c r="F11" s="39">
        <v>4828.4399999999996</v>
      </c>
      <c r="G11" s="38">
        <v>4843.41</v>
      </c>
      <c r="H11" s="39">
        <v>4832.2700000000004</v>
      </c>
      <c r="I11" s="38">
        <v>4843.87</v>
      </c>
      <c r="J11" s="39">
        <v>4853.07</v>
      </c>
      <c r="K11" s="38">
        <v>4860.83</v>
      </c>
      <c r="L11" s="39">
        <v>4881.25</v>
      </c>
      <c r="M11" s="38">
        <v>4894.92</v>
      </c>
      <c r="N11" s="39">
        <v>4916.46</v>
      </c>
    </row>
    <row r="12" spans="2:14" x14ac:dyDescent="0.35">
      <c r="B12" s="37">
        <v>2018</v>
      </c>
      <c r="C12" s="38">
        <v>4930.72</v>
      </c>
      <c r="D12" s="39">
        <v>4946.5</v>
      </c>
      <c r="E12" s="38">
        <v>4950.95</v>
      </c>
      <c r="F12" s="39">
        <v>4961.84</v>
      </c>
      <c r="G12" s="38">
        <v>4981.6899999999996</v>
      </c>
      <c r="H12" s="39">
        <v>5044.46</v>
      </c>
      <c r="I12" s="38">
        <v>5061.1099999999997</v>
      </c>
      <c r="J12" s="39">
        <v>5056.5600000000004</v>
      </c>
      <c r="K12" s="38">
        <v>5080.83</v>
      </c>
      <c r="L12" s="39">
        <v>5103.6899999999996</v>
      </c>
      <c r="M12" s="38">
        <v>5092.97</v>
      </c>
      <c r="N12" s="39">
        <v>5100.6099999999997</v>
      </c>
    </row>
    <row r="13" spans="2:14" x14ac:dyDescent="0.35">
      <c r="B13" s="37">
        <v>2019</v>
      </c>
      <c r="C13" s="38">
        <v>5116.93</v>
      </c>
      <c r="D13" s="39">
        <v>5138.93</v>
      </c>
      <c r="E13" s="38">
        <v>5177.47</v>
      </c>
      <c r="F13" s="39">
        <v>5206.9799999999996</v>
      </c>
      <c r="G13" s="38">
        <v>5213.75</v>
      </c>
      <c r="H13" s="39">
        <v>5214.2700000000004</v>
      </c>
      <c r="I13" s="38">
        <v>5224.18</v>
      </c>
      <c r="J13" s="39">
        <v>5229.93</v>
      </c>
      <c r="K13" s="38">
        <v>5227.84</v>
      </c>
      <c r="L13" s="39">
        <v>5233.07</v>
      </c>
      <c r="M13" s="38">
        <v>5259.76</v>
      </c>
      <c r="N13" s="39">
        <v>5320.25</v>
      </c>
    </row>
    <row r="14" spans="2:14" x14ac:dyDescent="0.35">
      <c r="B14" s="37">
        <v>2020</v>
      </c>
      <c r="C14" s="38">
        <v>5331.42</v>
      </c>
      <c r="D14" s="39">
        <v>5344.75</v>
      </c>
      <c r="E14" s="38">
        <v>5348.49</v>
      </c>
      <c r="F14" s="39">
        <v>5331.91</v>
      </c>
      <c r="G14" s="38">
        <v>5311.65</v>
      </c>
      <c r="H14" s="39">
        <v>5325.46</v>
      </c>
      <c r="I14" s="38">
        <v>5344.63</v>
      </c>
      <c r="J14" s="39">
        <v>5357.46</v>
      </c>
      <c r="K14" s="38">
        <v>5391.75</v>
      </c>
      <c r="L14" s="39">
        <v>5438.12</v>
      </c>
      <c r="M14" s="38">
        <v>5486.52</v>
      </c>
      <c r="N14" s="39">
        <v>5560.59</v>
      </c>
    </row>
    <row r="15" spans="2:14" x14ac:dyDescent="0.35">
      <c r="B15" s="37">
        <v>2021</v>
      </c>
      <c r="C15" s="38">
        <v>5574.49</v>
      </c>
      <c r="D15" s="39">
        <v>5622.43</v>
      </c>
      <c r="E15" s="38">
        <v>5674.72</v>
      </c>
      <c r="F15" s="39">
        <v>5692.31</v>
      </c>
      <c r="G15" s="38">
        <v>5739.56</v>
      </c>
      <c r="H15" s="39">
        <v>5769.98</v>
      </c>
      <c r="I15" s="38">
        <v>5825.37</v>
      </c>
      <c r="J15" s="39">
        <v>5876.05</v>
      </c>
      <c r="K15" s="38">
        <v>5944.21</v>
      </c>
      <c r="L15" s="39">
        <v>6018.51</v>
      </c>
      <c r="M15" s="38">
        <v>6075.69</v>
      </c>
      <c r="N15" s="39">
        <v>6120.04</v>
      </c>
    </row>
    <row r="16" spans="2:14" x14ac:dyDescent="0.35">
      <c r="B16" s="37">
        <v>2022</v>
      </c>
      <c r="C16" s="38">
        <v>6153.09</v>
      </c>
      <c r="D16" s="39">
        <v>6215.24</v>
      </c>
      <c r="E16" s="38">
        <v>6315.93</v>
      </c>
      <c r="F16" s="39">
        <v>6382.88</v>
      </c>
      <c r="G16" s="38">
        <v>6412.88</v>
      </c>
      <c r="H16" s="39">
        <v>6455.85</v>
      </c>
      <c r="I16" s="38">
        <v>6411.95</v>
      </c>
      <c r="J16" s="39">
        <v>6388.87</v>
      </c>
      <c r="K16" s="38">
        <v>6370.34</v>
      </c>
      <c r="L16" s="39">
        <v>6407.93</v>
      </c>
      <c r="M16" s="38">
        <v>6434.2</v>
      </c>
      <c r="N16" s="39">
        <v>6474.09</v>
      </c>
    </row>
    <row r="17" spans="2:14" x14ac:dyDescent="0.35">
      <c r="B17" s="37">
        <v>2023</v>
      </c>
      <c r="C17" s="38">
        <v>6508.4</v>
      </c>
      <c r="D17" s="39">
        <v>6563.07</v>
      </c>
      <c r="E17" s="38">
        <v>6609.67</v>
      </c>
      <c r="F17" s="39">
        <v>6649.99</v>
      </c>
      <c r="G17" s="38">
        <v>6665.28</v>
      </c>
      <c r="H17" s="39">
        <v>6659.95</v>
      </c>
      <c r="I17" s="38">
        <v>6667.94</v>
      </c>
      <c r="J17" s="39">
        <v>6683.28</v>
      </c>
      <c r="K17" s="38">
        <v>6700.66</v>
      </c>
      <c r="L17" s="39">
        <v>6716.74</v>
      </c>
      <c r="M17" s="38">
        <v>6735.55</v>
      </c>
      <c r="N17" s="39"/>
    </row>
    <row r="42" spans="5:6" x14ac:dyDescent="0.35">
      <c r="E42" s="18">
        <v>62200015.020000003</v>
      </c>
      <c r="F42" s="19">
        <v>43800</v>
      </c>
    </row>
    <row r="43" spans="5:6" x14ac:dyDescent="0.35">
      <c r="E43" s="20">
        <f>SUM(L6:L17)</f>
        <v>60279.320000000007</v>
      </c>
    </row>
    <row r="45" spans="5:6" x14ac:dyDescent="0.35">
      <c r="F45" s="19">
        <v>44166</v>
      </c>
    </row>
    <row r="46" spans="5:6" x14ac:dyDescent="0.35">
      <c r="E46" s="18">
        <f>SUM(L18:L29)</f>
        <v>0</v>
      </c>
    </row>
  </sheetData>
  <mergeCells count="1">
    <mergeCell ref="D2:N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Cristiano Rocha</vt:lpstr>
      <vt:lpstr>ICMS</vt:lpstr>
      <vt:lpstr>Preço</vt:lpstr>
      <vt:lpstr>IPCA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mzucchi@energia.org.br</cp:lastModifiedBy>
  <dcterms:created xsi:type="dcterms:W3CDTF">2021-07-08T15:08:03Z</dcterms:created>
  <dcterms:modified xsi:type="dcterms:W3CDTF">2024-01-29T14:11:32Z</dcterms:modified>
</cp:coreProperties>
</file>