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8A591899-126D-42A4-9984-189E39BA60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COMBUSTÍVEL O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I6" i="2" l="1"/>
  <c r="K6" i="2" s="1"/>
  <c r="I5" i="2"/>
  <c r="K5" i="2" s="1"/>
  <c r="R6" i="2" l="1"/>
  <c r="R5" i="2"/>
  <c r="O5" i="2"/>
  <c r="P5" i="2" s="1"/>
  <c r="S5" i="2"/>
  <c r="O6" i="2"/>
  <c r="P6" i="2" s="1"/>
  <c r="S6" i="2"/>
  <c r="N6" i="2" l="1"/>
  <c r="U6" i="2" s="1"/>
  <c r="Z6" i="2" s="1"/>
  <c r="N5" i="2"/>
  <c r="U5" i="2" s="1"/>
  <c r="Y5" i="2" l="1"/>
  <c r="Z5" i="2"/>
  <c r="Y6" i="2"/>
  <c r="V5" i="2" l="1"/>
  <c r="AA5" i="2"/>
  <c r="AB5" i="2" s="1"/>
  <c r="V6" i="2"/>
  <c r="AA6" i="2"/>
  <c r="AB6" i="2" l="1"/>
  <c r="AB7" i="2" s="1"/>
  <c r="C5" i="1" s="1"/>
  <c r="C4" i="1" s="1"/>
  <c r="C10" i="1" s="1"/>
  <c r="C12" i="1" s="1"/>
</calcChain>
</file>

<file path=xl/sharedStrings.xml><?xml version="1.0" encoding="utf-8"?>
<sst xmlns="http://schemas.openxmlformats.org/spreadsheetml/2006/main" count="66" uniqueCount="53">
  <si>
    <t>REEMBOLSO MENSAL</t>
  </si>
  <si>
    <t>REEMBOLSO PRELIMINAR</t>
  </si>
  <si>
    <t>REEMBOLSO MENSAL EFETIVO</t>
  </si>
  <si>
    <t>R$</t>
  </si>
  <si>
    <t>CEG</t>
  </si>
  <si>
    <t>CUSTO TOTAL DA GERAÇÃO</t>
  </si>
  <si>
    <t>GERAÇÃO MENSAL TOTAL</t>
  </si>
  <si>
    <t>COMPENSAÇÃO</t>
  </si>
  <si>
    <t>ACRméd</t>
  </si>
  <si>
    <t>R$/MWh</t>
  </si>
  <si>
    <t>FATOR DE CORTE</t>
  </si>
  <si>
    <t xml:space="preserve"> - </t>
  </si>
  <si>
    <t>UTE.PE.PA.030167-1.01</t>
  </si>
  <si>
    <t>UTE ALCOA BENEFICIAMENTO</t>
  </si>
  <si>
    <t>JURUTI</t>
  </si>
  <si>
    <t>PARA (ESTADO)</t>
  </si>
  <si>
    <t>Óleo Diesel</t>
  </si>
  <si>
    <t>UTE.PE.PA.030168-0.01</t>
  </si>
  <si>
    <t>UTE ALCOA PORTO</t>
  </si>
  <si>
    <t>MWh</t>
  </si>
  <si>
    <t>NA</t>
  </si>
  <si>
    <t>PIS / COFINS
(R$/L)</t>
  </si>
  <si>
    <t>VIBRA ENERGIA</t>
  </si>
  <si>
    <t>PIS / COFINS ANP
(R$/L)</t>
  </si>
  <si>
    <t>ICMS ANP
(R$/L)</t>
  </si>
  <si>
    <t>ICMS NF
(R$/L)</t>
  </si>
  <si>
    <t>reembolso mensal CCC - VIBRA</t>
  </si>
  <si>
    <t>competência:</t>
  </si>
  <si>
    <t>1 - combustível</t>
  </si>
  <si>
    <t>beneficiário</t>
  </si>
  <si>
    <t>usina</t>
  </si>
  <si>
    <t>localidade</t>
  </si>
  <si>
    <t>localidade ANP</t>
  </si>
  <si>
    <t>combustível</t>
  </si>
  <si>
    <t>combustível eficiente
(L)</t>
  </si>
  <si>
    <t xml:space="preserve">preço ANP
(R$/L) </t>
  </si>
  <si>
    <t>preço ANP sem impostos
(R$/L)</t>
  </si>
  <si>
    <t>total
combustível NFs
(L)</t>
  </si>
  <si>
    <t>preço NF sem ICMS (R$/L)</t>
  </si>
  <si>
    <t>preço NF sem impostos (R$/L)</t>
  </si>
  <si>
    <t>total PIS/Cofins NF (R$)</t>
  </si>
  <si>
    <t>total ICMS NF
(R$)</t>
  </si>
  <si>
    <t>total NF sem ICMS (R$)</t>
  </si>
  <si>
    <t>liminar</t>
  </si>
  <si>
    <t>preço unitário
(R$/L)</t>
  </si>
  <si>
    <t>custo OD liquido
(R$)</t>
  </si>
  <si>
    <t>% ICMS não recuperado</t>
  </si>
  <si>
    <t>% PIS / COFINS não recuperado</t>
  </si>
  <si>
    <t>preço ICMS 
(R$/L)</t>
  </si>
  <si>
    <t>preço PIS / COFINS 
(R$/L)</t>
  </si>
  <si>
    <t>custo tributo
(R$)</t>
  </si>
  <si>
    <t>custo total OD
(R$)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</si>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</sst>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</numFmts>
  <fonts count="12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sz val="11"/>
      <color rgb="FF002060"/>
      <name val="Inter"/>
      <family val="2"/>
      <scheme val="minor"/>
    </font>
    <font>
      <sz val="10"/>
      <name val="Arial"/>
      <family val="2"/>
    </font>
    <font>
      <b/>
      <sz val="11"/>
      <color theme="3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3"/>
      <name val="Inter"/>
      <family val="3"/>
      <scheme val="minor"/>
    </font>
    <font>
      <b/>
      <u val="double"/>
      <sz val="11"/>
      <color theme="3"/>
      <name val="Inter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43" fontId="10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4" fontId="11" fillId="0" borderId="0" xfId="0" applyNumberFormat="1" applyFont="1" applyAlignment="1">
      <alignment vertical="center"/>
    </xf>
  </cellXfs>
  <cellStyles count="6">
    <cellStyle name="Moeda 2" xfId="2" xr:uid="{00000000-0005-0000-0000-000000000000}"/>
    <cellStyle name="Normal" xfId="0" builtinId="0"/>
    <cellStyle name="Normal 2" xfId="5" xr:uid="{00000000-0005-0000-0000-000002000000}"/>
    <cellStyle name="Normal 3" xfId="4" xr:uid="{00000000-0005-0000-0000-000003000000}"/>
    <cellStyle name="Vírgula 2" xfId="1" xr:uid="{00000000-0005-0000-0000-000004000000}"/>
    <cellStyle name="Vírgula 3" xfId="3" xr:uid="{00000000-0005-0000-0000-000005000000}"/>
  </cellStyles>
  <dxfs count="0"/>
  <tableStyles count="1" defaultTableStyle="TableStyleMedium2" defaultPivotStyle="PivotStyleLight16">
    <tableStyle name="Invisible" pivot="0" table="0" count="0" xr9:uid="{2913484F-E79D-487D-9606-BBD6CC93B20A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1619250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E7AAD82C-8C86-0DDB-FF6B-5CAD9685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23973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1619250</xdr:colOff>
      <xdr:row>0</xdr:row>
      <xdr:rowOff>583818</xdr:rowOff>
    </xdr:to>
    <xdr:pic>
      <xdr:nvPicPr>
        <xdr:cNvPr id="4" name="Imagem 3" descr="Ícone&#10;&#10;Descrição gerada automaticamente com confiança baixa">
          <a:extLst>
            <a:ext uri="{FF2B5EF4-FFF2-40B4-BE49-F238E27FC236}">
              <a16:creationId xmlns:a16="http://schemas.microsoft.com/office/drawing/2014/main" id="{37DC1C05-37D2-42AA-A3E5-AB0B59CC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7148" cy="418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topLeftCell="A2" workbookViewId="0">
      <selection activeCell="C12" sqref="C12"/>
    </sheetView>
  </sheetViews>
  <sheetFormatPr defaultColWidth="9.25" defaultRowHeight="19.5" customHeight="1"/>
  <cols>
    <col min="1" max="1" width="45" customWidth="1"/>
    <col min="2" max="2" width="15.75" customWidth="1"/>
    <col min="3" max="3" width="20.25" customWidth="1"/>
    <col min="4" max="4" width="12.58203125" bestFit="1" customWidth="1"/>
    <col min="5" max="5" width="13.25" customWidth="1"/>
    <col min="6" max="6" width="11.58203125" customWidth="1"/>
  </cols>
  <sheetData>
    <row r="1" spans="1:6" ht="49.5" customHeight="1">
      <c r="C1" s="14" t="s">
        <v>26</v>
      </c>
    </row>
    <row r="2" spans="1:6" ht="19.5" customHeight="1">
      <c r="B2" s="15" t="s">
        <v>27</v>
      </c>
      <c r="C2" s="16">
        <v>46143</v>
      </c>
    </row>
    <row r="3" spans="1:6" ht="19.5" customHeight="1">
      <c r="B3" s="1"/>
      <c r="C3" s="11"/>
    </row>
    <row r="4" spans="1:6" ht="30" customHeight="1">
      <c r="A4" s="18" t="s">
        <v>5</v>
      </c>
      <c r="B4" s="19" t="s">
        <v>3</v>
      </c>
      <c r="C4" s="20">
        <f>SUM(C5)</f>
        <v>8377773.1699999999</v>
      </c>
    </row>
    <row r="5" spans="1:6" ht="19.5" customHeight="1">
      <c r="A5" s="21" t="s">
        <v>28</v>
      </c>
      <c r="B5" s="22" t="s">
        <v>3</v>
      </c>
      <c r="C5" s="23">
        <f>'COMBUSTÍVEL OD'!AB7</f>
        <v>8377773.1699999999</v>
      </c>
      <c r="E5" s="12"/>
      <c r="F5" s="12"/>
    </row>
    <row r="6" spans="1:6" ht="19.5" customHeight="1">
      <c r="A6" s="21" t="s">
        <v>6</v>
      </c>
      <c r="B6" s="22" t="s">
        <v>19</v>
      </c>
      <c r="C6" s="23">
        <v>0</v>
      </c>
      <c r="E6" s="12"/>
      <c r="F6" s="12"/>
    </row>
    <row r="7" spans="1:6" ht="19.5" customHeight="1">
      <c r="A7" s="21" t="s">
        <v>7</v>
      </c>
      <c r="B7" s="22" t="s">
        <v>3</v>
      </c>
      <c r="C7" s="23">
        <v>0</v>
      </c>
      <c r="E7" s="12"/>
      <c r="F7" s="12"/>
    </row>
    <row r="8" spans="1:6" ht="19.5" customHeight="1">
      <c r="A8" s="21" t="s">
        <v>8</v>
      </c>
      <c r="B8" s="22" t="s">
        <v>9</v>
      </c>
      <c r="C8" s="23" t="s">
        <v>20</v>
      </c>
    </row>
    <row r="9" spans="1:6" ht="19.5" customHeight="1">
      <c r="A9" s="21" t="s">
        <v>10</v>
      </c>
      <c r="B9" s="22" t="s">
        <v>11</v>
      </c>
      <c r="C9" s="23" t="s">
        <v>20</v>
      </c>
    </row>
    <row r="10" spans="1:6" ht="19.5" customHeight="1">
      <c r="A10" s="18" t="s">
        <v>0</v>
      </c>
      <c r="B10" s="19" t="s">
        <v>3</v>
      </c>
      <c r="C10" s="24">
        <f>ROUND(C4,2)</f>
        <v>8377773.1699999999</v>
      </c>
      <c r="E10" s="12"/>
      <c r="F10" s="12"/>
    </row>
    <row r="11" spans="1:6" ht="19.5" customHeight="1">
      <c r="A11" s="18" t="s">
        <v>1</v>
      </c>
      <c r="B11" s="19" t="s">
        <v>3</v>
      </c>
      <c r="C11" s="24">
        <v>1757023.79</v>
      </c>
      <c r="E11" s="12"/>
      <c r="F11" s="12"/>
    </row>
    <row r="12" spans="1:6" ht="19.5" customHeight="1">
      <c r="A12" s="18" t="s">
        <v>2</v>
      </c>
      <c r="B12" s="19" t="s">
        <v>3</v>
      </c>
      <c r="C12" s="24">
        <f>C10-C11</f>
        <v>6620749.3799999999</v>
      </c>
      <c r="D12" s="12"/>
      <c r="E12" s="12"/>
      <c r="F12" s="12"/>
    </row>
    <row r="14" spans="1:6" ht="19.5" customHeight="1">
      <c r="A14" s="12"/>
      <c r="B14" s="12"/>
      <c r="C14" s="12"/>
    </row>
    <row r="15" spans="1:6" ht="19.5" customHeight="1">
      <c r="A15" s="12"/>
      <c r="B15" s="12"/>
      <c r="C15" s="12"/>
    </row>
    <row r="16" spans="1:6" ht="19.5" customHeight="1">
      <c r="A16" s="12"/>
      <c r="B16" s="12"/>
      <c r="C16" s="1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showGridLines="0" topLeftCell="B1" workbookViewId="0">
      <selection activeCell="G5" sqref="G5"/>
    </sheetView>
  </sheetViews>
  <sheetFormatPr defaultRowHeight="19.5" customHeight="1"/>
  <cols>
    <col min="1" max="1" width="30.75" customWidth="1"/>
    <col min="2" max="2" width="27" customWidth="1"/>
    <col min="3" max="3" width="38.75" customWidth="1"/>
    <col min="4" max="5" width="26.25" customWidth="1"/>
    <col min="6" max="18" width="20.75" customWidth="1"/>
    <col min="19" max="19" width="18.33203125" customWidth="1"/>
    <col min="20" max="28" width="20.75" customWidth="1"/>
  </cols>
  <sheetData>
    <row r="1" spans="1:28" ht="49.5" customHeight="1">
      <c r="D1" s="14" t="s">
        <v>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15.5">
      <c r="C2" s="15" t="s">
        <v>27</v>
      </c>
      <c r="D2" s="11">
        <f>RESUMO!C2</f>
        <v>46143</v>
      </c>
      <c r="E2" s="8"/>
      <c r="F2" s="8"/>
      <c r="G2" s="8"/>
      <c r="H2" s="8"/>
    </row>
    <row r="3" spans="1:28" ht="15.5">
      <c r="A3" s="17"/>
      <c r="C3" s="10"/>
      <c r="D3" s="11"/>
      <c r="E3" s="8"/>
      <c r="F3" s="8"/>
      <c r="G3" s="8"/>
      <c r="H3" s="8"/>
    </row>
    <row r="4" spans="1:28" ht="42">
      <c r="A4" s="25" t="s">
        <v>29</v>
      </c>
      <c r="B4" s="25" t="s">
        <v>4</v>
      </c>
      <c r="C4" s="25" t="s">
        <v>30</v>
      </c>
      <c r="D4" s="25" t="s">
        <v>31</v>
      </c>
      <c r="E4" s="25" t="s">
        <v>32</v>
      </c>
      <c r="F4" s="25" t="s">
        <v>33</v>
      </c>
      <c r="G4" s="26" t="s">
        <v>34</v>
      </c>
      <c r="H4" s="27" t="s">
        <v>35</v>
      </c>
      <c r="I4" s="27" t="s">
        <v>23</v>
      </c>
      <c r="J4" s="27" t="s">
        <v>24</v>
      </c>
      <c r="K4" s="27" t="s">
        <v>36</v>
      </c>
      <c r="L4" s="27" t="s">
        <v>37</v>
      </c>
      <c r="M4" s="27" t="s">
        <v>38</v>
      </c>
      <c r="N4" s="27" t="s">
        <v>39</v>
      </c>
      <c r="O4" s="27" t="s">
        <v>21</v>
      </c>
      <c r="P4" s="27" t="s">
        <v>40</v>
      </c>
      <c r="Q4" s="27" t="s">
        <v>25</v>
      </c>
      <c r="R4" s="27" t="s">
        <v>41</v>
      </c>
      <c r="S4" s="27" t="s">
        <v>42</v>
      </c>
      <c r="T4" s="27" t="s">
        <v>43</v>
      </c>
      <c r="U4" s="27" t="s">
        <v>44</v>
      </c>
      <c r="V4" s="27" t="s">
        <v>45</v>
      </c>
      <c r="W4" s="28" t="s">
        <v>46</v>
      </c>
      <c r="X4" s="28" t="s">
        <v>47</v>
      </c>
      <c r="Y4" s="27" t="s">
        <v>48</v>
      </c>
      <c r="Z4" s="27" t="s">
        <v>49</v>
      </c>
      <c r="AA4" s="27" t="s">
        <v>50</v>
      </c>
      <c r="AB4" s="27" t="s">
        <v>51</v>
      </c>
    </row>
    <row r="5" spans="1:28" ht="19.5" customHeight="1">
      <c r="A5" s="22" t="s">
        <v>22</v>
      </c>
      <c r="B5" s="22" t="s">
        <v>12</v>
      </c>
      <c r="C5" s="22" t="s">
        <v>13</v>
      </c>
      <c r="D5" s="22" t="s">
        <v>14</v>
      </c>
      <c r="E5" s="22" t="s">
        <v>15</v>
      </c>
      <c r="F5" s="29" t="s">
        <v>16</v>
      </c>
      <c r="G5" s="30">
        <v>1148408.8910000001</v>
      </c>
      <c r="H5" s="31">
        <v>6.1909999999999998</v>
      </c>
      <c r="I5" s="31">
        <f>(H5-J5)*0.0925</f>
        <v>0.46444249999999998</v>
      </c>
      <c r="J5" s="31">
        <v>1.17</v>
      </c>
      <c r="K5" s="31">
        <f>H5-I5-J5</f>
        <v>4.5565575000000003</v>
      </c>
      <c r="L5" s="30">
        <v>1083462</v>
      </c>
      <c r="M5" s="31">
        <v>7.575800000369</v>
      </c>
      <c r="N5" s="31">
        <f>M5-O5</f>
        <v>6.8750385003348677</v>
      </c>
      <c r="O5" s="31">
        <f>M5*0.0925</f>
        <v>0.70076150003413251</v>
      </c>
      <c r="P5" s="31">
        <f>O5*L5</f>
        <v>759248.45634998125</v>
      </c>
      <c r="Q5" s="31">
        <v>0</v>
      </c>
      <c r="R5" s="31">
        <f>Q5*L5</f>
        <v>0</v>
      </c>
      <c r="S5" s="31">
        <f>M5*L5</f>
        <v>8208091.4199997978</v>
      </c>
      <c r="T5" s="32" t="s">
        <v>52</v>
      </c>
      <c r="U5" s="31">
        <f>IF(T5="S",N5,SMALL((K5,N5),1))</f>
        <v>4.5565575000000003</v>
      </c>
      <c r="V5" s="31">
        <f>U5*G5</f>
        <v>5232791.1453527333</v>
      </c>
      <c r="W5" s="33">
        <v>1</v>
      </c>
      <c r="X5" s="33">
        <v>1</v>
      </c>
      <c r="Y5" s="31">
        <f>IF(U5=N5,Q5,J5)</f>
        <v>1.17</v>
      </c>
      <c r="Z5" s="31">
        <f>IF(U5=N5,O5,I5)</f>
        <v>0.46444249999999998</v>
      </c>
      <c r="AA5" s="31">
        <f>((G5*Y5)*W5)+((G5*Z5)*X5)</f>
        <v>1877008.2988282675</v>
      </c>
      <c r="AB5" s="31">
        <f>ROUND(AA5+V5,3)</f>
        <v>7109799.4440000001</v>
      </c>
    </row>
    <row r="6" spans="1:28" ht="19.5" customHeight="1">
      <c r="A6" s="22" t="s">
        <v>22</v>
      </c>
      <c r="B6" s="22" t="s">
        <v>17</v>
      </c>
      <c r="C6" s="22" t="s">
        <v>18</v>
      </c>
      <c r="D6" s="22" t="s">
        <v>14</v>
      </c>
      <c r="E6" s="22" t="s">
        <v>15</v>
      </c>
      <c r="F6" s="29" t="s">
        <v>16</v>
      </c>
      <c r="G6" s="30">
        <v>204809.19500000001</v>
      </c>
      <c r="H6" s="31">
        <v>6.1909999999999998</v>
      </c>
      <c r="I6" s="31">
        <f>(H6-J6)*0.0925</f>
        <v>0.46444249999999998</v>
      </c>
      <c r="J6" s="31">
        <v>1.17</v>
      </c>
      <c r="K6" s="31">
        <f>H6-I6-J6</f>
        <v>4.5565575000000003</v>
      </c>
      <c r="L6" s="30">
        <v>258355</v>
      </c>
      <c r="M6" s="31">
        <v>7.5758000038709996</v>
      </c>
      <c r="N6" s="31">
        <f>M6-O6</f>
        <v>6.8750385035129318</v>
      </c>
      <c r="O6" s="31">
        <f>M6*0.0925</f>
        <v>0.7007615003580675</v>
      </c>
      <c r="P6" s="31">
        <f>O6*L6</f>
        <v>181045.23742500853</v>
      </c>
      <c r="Q6" s="31">
        <v>0</v>
      </c>
      <c r="R6" s="31">
        <f>Q6*L6</f>
        <v>0</v>
      </c>
      <c r="S6" s="31">
        <f>M6*L6</f>
        <v>1957245.810000092</v>
      </c>
      <c r="T6" s="32" t="s">
        <v>52</v>
      </c>
      <c r="U6" s="31">
        <f>IF(T6="S",N6,SMALL((K6,N6),1))</f>
        <v>4.5565575000000003</v>
      </c>
      <c r="V6" s="31">
        <f>U6*G6</f>
        <v>933224.87354621256</v>
      </c>
      <c r="W6" s="33">
        <v>1</v>
      </c>
      <c r="X6" s="33">
        <v>1</v>
      </c>
      <c r="Y6" s="31">
        <f>IF(U6=N6,Q6,J6)</f>
        <v>1.17</v>
      </c>
      <c r="Z6" s="31">
        <f>IF(U6=N6,O6,I6)</f>
        <v>0.46444249999999998</v>
      </c>
      <c r="AA6" s="31">
        <f>((G6*Y6)*W6)+((G6*Z6)*X6)</f>
        <v>334748.85269878746</v>
      </c>
      <c r="AB6" s="31">
        <f>ROUND(AA6+V6,3)</f>
        <v>1267973.726</v>
      </c>
    </row>
    <row r="7" spans="1:28" ht="19.5" customHeight="1">
      <c r="A7" s="2"/>
      <c r="B7" s="2"/>
      <c r="C7" s="2"/>
      <c r="D7" s="2"/>
      <c r="E7" s="5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6"/>
      <c r="T7" s="3"/>
      <c r="U7" s="3"/>
      <c r="V7" s="7"/>
      <c r="W7" s="7"/>
      <c r="X7" s="3"/>
      <c r="Y7" s="3"/>
      <c r="Z7" s="3"/>
      <c r="AA7" s="9"/>
      <c r="AB7" s="34">
        <f>SUM(AB4:AB6)</f>
        <v>8377773.1699999999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COMBUSTÍVEL 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Zucchi</dc:creator>
  <cp:lastModifiedBy>Gabriela Pantoja Passos</cp:lastModifiedBy>
  <dcterms:created xsi:type="dcterms:W3CDTF">2019-04-29T22:08:02Z</dcterms:created>
  <dcterms:modified xsi:type="dcterms:W3CDTF">2026-07-15T14:51:54Z</dcterms:modified>
</cp:coreProperties>
</file>