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6\05.Maio26\CTG\6. PUBLICAÇÃO\"/>
    </mc:Choice>
  </mc:AlternateContent>
  <xr:revisionPtr revIDLastSave="0" documentId="13_ncr:1_{AAB47B55-6FE1-4A89-8361-369F7533EE7A}" xr6:coauthVersionLast="47" xr6:coauthVersionMax="47" xr10:uidLastSave="{00000000-0000-0000-0000-000000000000}"/>
  <bookViews>
    <workbookView xWindow="-110" yWindow="-110" windowWidth="19420" windowHeight="10300" tabRatio="757" xr2:uid="{00000000-000D-0000-FFFF-FFFF00000000}"/>
  </bookViews>
  <sheets>
    <sheet name="RESUMO" sheetId="1" r:id="rId1"/>
    <sheet name="IMPORTAÇÃO VENEZUELA" sheetId="20" r:id="rId2"/>
    <sheet name="COMBUSTÍVEL OD" sheetId="2" r:id="rId3"/>
    <sheet name="FRETE" sheetId="10" r:id="rId4"/>
    <sheet name="LOCAÇÃO" sheetId="13" r:id="rId5"/>
    <sheet name="GERAÇÃO PRÓPRIA" sheetId="3" r:id="rId6"/>
    <sheet name="MIGDI" sheetId="18" r:id="rId7"/>
    <sheet name="SIGFI" sheetId="17" r:id="rId8"/>
    <sheet name="CCESI" sheetId="11" r:id="rId9"/>
    <sheet name="CVU" sheetId="15" r:id="rId10"/>
  </sheets>
  <definedNames>
    <definedName name="_xlnm._FilterDatabase" localSheetId="8" hidden="1">CCESI!$A$3:$Y$16</definedName>
    <definedName name="_xlnm._FilterDatabase" localSheetId="2" hidden="1">'COMBUSTÍVEL OD'!$A$3:$AD$72</definedName>
    <definedName name="_xlnm._FilterDatabase" localSheetId="9" hidden="1">CVU!$B$3:$F$3</definedName>
    <definedName name="_xlnm._FilterDatabase" localSheetId="3" hidden="1">FRETE!$A$3:$K$73</definedName>
    <definedName name="_xlnm._FilterDatabase" localSheetId="5" hidden="1">'GERAÇÃO PRÓPRIA'!$A$4:$AB$62</definedName>
    <definedName name="_xlnm._FilterDatabase" localSheetId="1" hidden="1">'IMPORTAÇÃO VENEZUELA'!#REF!</definedName>
    <definedName name="_xlnm._FilterDatabase" localSheetId="4" hidden="1">LOCAÇÃO!$A$4:$AB$18</definedName>
    <definedName name="_xlnm._FilterDatabase" localSheetId="6" hidden="1">MIGDI!#REF!</definedName>
    <definedName name="_xlnm._FilterDatabase" localSheetId="7" hidden="1">SIGFI!#REF!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7" l="1"/>
  <c r="F11" i="15"/>
  <c r="F10" i="15"/>
  <c r="F9" i="15"/>
  <c r="F8" i="15"/>
  <c r="F7" i="15"/>
  <c r="C7" i="17" l="1"/>
  <c r="C1" i="20" l="1"/>
  <c r="D2" i="20"/>
  <c r="C1" i="18" l="1"/>
  <c r="D2" i="18" l="1"/>
  <c r="V16" i="11" l="1"/>
  <c r="D2" i="17" l="1"/>
  <c r="C19" i="1"/>
  <c r="C6" i="17"/>
  <c r="C5" i="17"/>
  <c r="C1" i="17"/>
  <c r="C2" i="15" l="1"/>
  <c r="C1" i="10" l="1"/>
  <c r="D2" i="13" l="1"/>
  <c r="C1" i="13"/>
  <c r="G48" i="10" l="1"/>
  <c r="G34" i="10"/>
  <c r="G43" i="10"/>
  <c r="G16" i="10"/>
  <c r="G15" i="10"/>
  <c r="G26" i="10"/>
  <c r="G27" i="10"/>
  <c r="D2" i="11" l="1"/>
  <c r="C1" i="11"/>
  <c r="H48" i="10" l="1"/>
  <c r="H15" i="10" l="1"/>
  <c r="H26" i="10"/>
  <c r="H27" i="10"/>
  <c r="H34" i="10"/>
  <c r="H43" i="10"/>
  <c r="H16" i="10" l="1"/>
  <c r="D2" i="3" l="1"/>
  <c r="D2" i="10"/>
  <c r="D2" i="2"/>
  <c r="C1" i="3" l="1"/>
  <c r="C1" i="2"/>
  <c r="J48" i="10" l="1"/>
  <c r="K48" i="10" s="1"/>
  <c r="J34" i="10"/>
  <c r="K34" i="10" s="1"/>
  <c r="J15" i="10"/>
  <c r="J16" i="10"/>
  <c r="K16" i="10" s="1"/>
  <c r="J43" i="10"/>
  <c r="K43" i="10" s="1"/>
  <c r="J27" i="10"/>
  <c r="K27" i="10" s="1"/>
  <c r="J26" i="10"/>
  <c r="K26" i="10" s="1"/>
  <c r="I71" i="2" l="1"/>
  <c r="I68" i="2"/>
  <c r="I67" i="2"/>
  <c r="I66" i="2"/>
  <c r="I65" i="2"/>
  <c r="I64" i="2"/>
  <c r="I63" i="2"/>
  <c r="I62" i="2"/>
  <c r="I61" i="2"/>
  <c r="I60" i="2"/>
  <c r="I59" i="2"/>
  <c r="I58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37" i="2"/>
  <c r="I36" i="2"/>
  <c r="I35" i="2"/>
  <c r="I32" i="2"/>
  <c r="I31" i="2"/>
  <c r="I30" i="2"/>
  <c r="I29" i="2"/>
  <c r="I26" i="2"/>
  <c r="I25" i="2"/>
  <c r="I23" i="2"/>
  <c r="I21" i="2"/>
  <c r="I20" i="2"/>
  <c r="I19" i="2"/>
  <c r="I18" i="2"/>
  <c r="I17" i="2"/>
  <c r="I16" i="2"/>
  <c r="I12" i="2"/>
  <c r="I11" i="2"/>
  <c r="I10" i="2"/>
  <c r="I9" i="2"/>
  <c r="I8" i="2"/>
  <c r="I7" i="2"/>
  <c r="I6" i="2"/>
  <c r="I4" i="2"/>
  <c r="I34" i="2" l="1"/>
  <c r="I24" i="2"/>
  <c r="I38" i="2"/>
  <c r="I22" i="2"/>
  <c r="I39" i="2"/>
  <c r="I13" i="2"/>
  <c r="I40" i="2"/>
  <c r="I14" i="2"/>
  <c r="I27" i="2"/>
  <c r="I69" i="2"/>
  <c r="I28" i="2"/>
  <c r="I70" i="2"/>
  <c r="I15" i="2"/>
  <c r="I57" i="2"/>
  <c r="I5" i="2"/>
  <c r="I33" i="2"/>
  <c r="N23" i="11"/>
  <c r="N30" i="11"/>
  <c r="N26" i="11"/>
  <c r="N21" i="11"/>
  <c r="N28" i="11"/>
  <c r="N22" i="11"/>
  <c r="N29" i="11"/>
  <c r="N31" i="11"/>
  <c r="N20" i="11"/>
  <c r="N27" i="11"/>
  <c r="N24" i="11"/>
  <c r="N25" i="11"/>
  <c r="K15" i="10" l="1"/>
  <c r="M42" i="3" l="1"/>
  <c r="O42" i="3" s="1"/>
  <c r="M56" i="3"/>
  <c r="O56" i="3" s="1"/>
  <c r="M21" i="3"/>
  <c r="O21" i="3" s="1"/>
  <c r="M34" i="3"/>
  <c r="O34" i="3" s="1"/>
  <c r="M48" i="3"/>
  <c r="O48" i="3" s="1"/>
  <c r="M61" i="3"/>
  <c r="O61" i="3" s="1"/>
  <c r="M13" i="3"/>
  <c r="O13" i="3" s="1"/>
  <c r="M25" i="3"/>
  <c r="O25" i="3" s="1"/>
  <c r="M17" i="3"/>
  <c r="O17" i="3" s="1"/>
  <c r="M30" i="3"/>
  <c r="O30" i="3" s="1"/>
  <c r="M44" i="3"/>
  <c r="O44" i="3" s="1"/>
  <c r="M57" i="3"/>
  <c r="O57" i="3" s="1"/>
  <c r="M10" i="3"/>
  <c r="O10" i="3" s="1"/>
  <c r="M22" i="3"/>
  <c r="O22" i="3" s="1"/>
  <c r="M35" i="3"/>
  <c r="O35" i="3" s="1"/>
  <c r="M49" i="3"/>
  <c r="O49" i="3" s="1"/>
  <c r="E62" i="3"/>
  <c r="M5" i="3"/>
  <c r="O5" i="3" s="1"/>
  <c r="M14" i="3"/>
  <c r="O14" i="3" s="1"/>
  <c r="M27" i="3"/>
  <c r="O27" i="3" s="1"/>
  <c r="M40" i="3"/>
  <c r="O40" i="3" s="1"/>
  <c r="M54" i="3"/>
  <c r="O54" i="3" s="1"/>
  <c r="M9" i="3"/>
  <c r="O9" i="3" s="1"/>
  <c r="M16" i="3"/>
  <c r="O16" i="3" s="1"/>
  <c r="M6" i="3"/>
  <c r="O6" i="3" s="1"/>
  <c r="M18" i="3"/>
  <c r="O18" i="3" s="1"/>
  <c r="M31" i="3"/>
  <c r="O31" i="3" s="1"/>
  <c r="M45" i="3"/>
  <c r="O45" i="3" s="1"/>
  <c r="M58" i="3"/>
  <c r="O58" i="3" s="1"/>
  <c r="M11" i="3"/>
  <c r="O11" i="3" s="1"/>
  <c r="M23" i="3"/>
  <c r="O23" i="3" s="1"/>
  <c r="M36" i="3"/>
  <c r="O36" i="3" s="1"/>
  <c r="M50" i="3"/>
  <c r="O50" i="3" s="1"/>
  <c r="M15" i="3"/>
  <c r="O15" i="3" s="1"/>
  <c r="M28" i="3"/>
  <c r="O28" i="3" s="1"/>
  <c r="M7" i="3"/>
  <c r="O7" i="3" s="1"/>
  <c r="M19" i="3"/>
  <c r="O19" i="3" s="1"/>
  <c r="M46" i="3"/>
  <c r="O46" i="3" s="1"/>
  <c r="M39" i="3"/>
  <c r="O39" i="3" s="1"/>
  <c r="M53" i="3"/>
  <c r="O53" i="3" s="1"/>
  <c r="M32" i="3"/>
  <c r="O32" i="3" s="1"/>
  <c r="M59" i="3"/>
  <c r="O59" i="3" s="1"/>
  <c r="M24" i="3"/>
  <c r="O24" i="3" s="1"/>
  <c r="M37" i="3"/>
  <c r="O37" i="3" s="1"/>
  <c r="M51" i="3"/>
  <c r="O51" i="3" s="1"/>
  <c r="J7" i="11"/>
  <c r="O7" i="11"/>
  <c r="M29" i="3"/>
  <c r="O29" i="3" s="1"/>
  <c r="M41" i="3"/>
  <c r="O41" i="3" s="1"/>
  <c r="M43" i="3"/>
  <c r="O43" i="3" s="1"/>
  <c r="M55" i="3"/>
  <c r="O55" i="3" s="1"/>
  <c r="M8" i="3"/>
  <c r="O8" i="3" s="1"/>
  <c r="M20" i="3"/>
  <c r="O20" i="3" s="1"/>
  <c r="M33" i="3"/>
  <c r="O33" i="3" s="1"/>
  <c r="M47" i="3"/>
  <c r="O47" i="3" s="1"/>
  <c r="M60" i="3"/>
  <c r="O60" i="3" s="1"/>
  <c r="M12" i="3"/>
  <c r="O12" i="3" s="1"/>
  <c r="M26" i="3"/>
  <c r="O26" i="3" s="1"/>
  <c r="M38" i="3"/>
  <c r="O38" i="3" s="1"/>
  <c r="M52" i="3"/>
  <c r="O52" i="3" s="1"/>
  <c r="D27" i="18"/>
  <c r="D73" i="10" l="1"/>
  <c r="E18" i="13"/>
  <c r="G72" i="2"/>
  <c r="E16" i="11"/>
  <c r="P7" i="11"/>
  <c r="R7" i="11" s="1"/>
  <c r="U7" i="11" s="1"/>
  <c r="Q7" i="11" l="1"/>
  <c r="S7" i="11" s="1"/>
  <c r="V7" i="11" s="1"/>
  <c r="W7" i="11" s="1"/>
  <c r="X7" i="11" s="1"/>
  <c r="E5" i="17" l="1"/>
  <c r="E6" i="17"/>
  <c r="E7" i="17"/>
  <c r="G45" i="10"/>
  <c r="H45" i="10" s="1"/>
  <c r="J45" i="10" s="1"/>
  <c r="K45" i="10" s="1"/>
  <c r="G8" i="10"/>
  <c r="H8" i="10" s="1"/>
  <c r="J8" i="10" s="1"/>
  <c r="K8" i="10" s="1"/>
  <c r="G41" i="10" l="1"/>
  <c r="H41" i="10" s="1"/>
  <c r="J41" i="10" s="1"/>
  <c r="K41" i="10" s="1"/>
  <c r="G25" i="10"/>
  <c r="H25" i="10" s="1"/>
  <c r="J25" i="10" s="1"/>
  <c r="K25" i="10" s="1"/>
  <c r="G18" i="10"/>
  <c r="H18" i="10" s="1"/>
  <c r="J18" i="10" s="1"/>
  <c r="K18" i="10" s="1"/>
  <c r="E8" i="17"/>
  <c r="C9" i="1" s="1"/>
  <c r="G4" i="10"/>
  <c r="H4" i="10" s="1"/>
  <c r="J4" i="10" s="1"/>
  <c r="K4" i="10" s="1"/>
  <c r="G44" i="10"/>
  <c r="H44" i="10" s="1"/>
  <c r="J44" i="10" s="1"/>
  <c r="K44" i="10" s="1"/>
  <c r="G42" i="10"/>
  <c r="H42" i="10" s="1"/>
  <c r="J42" i="10" s="1"/>
  <c r="K42" i="10" s="1"/>
  <c r="G22" i="10"/>
  <c r="H22" i="10" s="1"/>
  <c r="J22" i="10" s="1"/>
  <c r="K22" i="10" s="1"/>
  <c r="G69" i="10"/>
  <c r="H69" i="10" s="1"/>
  <c r="J69" i="10" s="1"/>
  <c r="K69" i="10" s="1"/>
  <c r="G35" i="10"/>
  <c r="H35" i="10" s="1"/>
  <c r="J35" i="10" s="1"/>
  <c r="K35" i="10" s="1"/>
  <c r="G23" i="10"/>
  <c r="H23" i="10" s="1"/>
  <c r="J23" i="10" s="1"/>
  <c r="K23" i="10" s="1"/>
  <c r="G70" i="10"/>
  <c r="H70" i="10" s="1"/>
  <c r="J70" i="10" s="1"/>
  <c r="K70" i="10" s="1"/>
  <c r="G9" i="10"/>
  <c r="H9" i="10" s="1"/>
  <c r="J9" i="10" s="1"/>
  <c r="K9" i="10" s="1"/>
  <c r="G17" i="10"/>
  <c r="H17" i="10" s="1"/>
  <c r="J17" i="10" s="1"/>
  <c r="K17" i="10" s="1"/>
  <c r="G24" i="10"/>
  <c r="H24" i="10" s="1"/>
  <c r="J24" i="10" s="1"/>
  <c r="K24" i="10" s="1"/>
  <c r="G32" i="10"/>
  <c r="H32" i="10" s="1"/>
  <c r="J32" i="10" s="1"/>
  <c r="K32" i="10" s="1"/>
  <c r="G49" i="10"/>
  <c r="H49" i="10" s="1"/>
  <c r="J49" i="10" s="1"/>
  <c r="K49" i="10" s="1"/>
  <c r="R22" i="2" l="1"/>
  <c r="Y22" i="2"/>
  <c r="O38" i="2"/>
  <c r="O43" i="2"/>
  <c r="U43" i="2" s="1"/>
  <c r="V43" i="2" s="1"/>
  <c r="O21" i="2"/>
  <c r="U21" i="2" s="1"/>
  <c r="V21" i="2" s="1"/>
  <c r="Y21" i="2"/>
  <c r="R21" i="2"/>
  <c r="R38" i="2"/>
  <c r="Y38" i="2"/>
  <c r="O9" i="2"/>
  <c r="U9" i="2" s="1"/>
  <c r="V9" i="2" s="1"/>
  <c r="Y15" i="2"/>
  <c r="R15" i="2"/>
  <c r="R8" i="2"/>
  <c r="Y8" i="2"/>
  <c r="O22" i="2"/>
  <c r="R68" i="2"/>
  <c r="Y68" i="2"/>
  <c r="Y29" i="2"/>
  <c r="R29" i="2"/>
  <c r="R31" i="2"/>
  <c r="Y31" i="2"/>
  <c r="O4" i="2"/>
  <c r="M4" i="2" s="1"/>
  <c r="O15" i="2"/>
  <c r="O37" i="2"/>
  <c r="O29" i="2"/>
  <c r="U29" i="2" s="1"/>
  <c r="V29" i="2" s="1"/>
  <c r="O23" i="2"/>
  <c r="U23" i="2" s="1"/>
  <c r="V23" i="2" s="1"/>
  <c r="R69" i="2"/>
  <c r="Y69" i="2"/>
  <c r="R9" i="2"/>
  <c r="Y9" i="2"/>
  <c r="O40" i="2"/>
  <c r="U40" i="2" s="1"/>
  <c r="V40" i="2" s="1"/>
  <c r="Y16" i="2"/>
  <c r="R16" i="2"/>
  <c r="O69" i="2"/>
  <c r="Y39" i="2"/>
  <c r="R39" i="2"/>
  <c r="O16" i="2"/>
  <c r="Y40" i="2"/>
  <c r="R40" i="2"/>
  <c r="O68" i="2"/>
  <c r="U68" i="2" s="1"/>
  <c r="V68" i="2" s="1"/>
  <c r="R43" i="2"/>
  <c r="Y43" i="2"/>
  <c r="Y4" i="2"/>
  <c r="R4" i="2"/>
  <c r="O8" i="2"/>
  <c r="O20" i="2"/>
  <c r="O31" i="2"/>
  <c r="M31" i="2" s="1"/>
  <c r="R23" i="2"/>
  <c r="Y23" i="2"/>
  <c r="R20" i="2"/>
  <c r="Y20" i="2"/>
  <c r="Y37" i="2"/>
  <c r="R37" i="2"/>
  <c r="O39" i="2"/>
  <c r="G61" i="10" l="1"/>
  <c r="H61" i="10" s="1"/>
  <c r="J61" i="10" s="1"/>
  <c r="K61" i="10" s="1"/>
  <c r="G68" i="10"/>
  <c r="H68" i="10" s="1"/>
  <c r="J68" i="10" s="1"/>
  <c r="K68" i="10" s="1"/>
  <c r="G66" i="10"/>
  <c r="H66" i="10" s="1"/>
  <c r="J66" i="10" s="1"/>
  <c r="K66" i="10" s="1"/>
  <c r="G36" i="10"/>
  <c r="H36" i="10" s="1"/>
  <c r="J36" i="10" s="1"/>
  <c r="K36" i="10" s="1"/>
  <c r="G31" i="10"/>
  <c r="H31" i="10" s="1"/>
  <c r="J31" i="10" s="1"/>
  <c r="K31" i="10" s="1"/>
  <c r="G30" i="10"/>
  <c r="H30" i="10" s="1"/>
  <c r="J30" i="10" s="1"/>
  <c r="K30" i="10" s="1"/>
  <c r="G13" i="10"/>
  <c r="H13" i="10" s="1"/>
  <c r="J13" i="10" s="1"/>
  <c r="K13" i="10" s="1"/>
  <c r="G6" i="10"/>
  <c r="H6" i="10" s="1"/>
  <c r="J6" i="10" s="1"/>
  <c r="K6" i="10" s="1"/>
  <c r="U69" i="2"/>
  <c r="V69" i="2" s="1"/>
  <c r="G14" i="10"/>
  <c r="H14" i="10" s="1"/>
  <c r="J14" i="10" s="1"/>
  <c r="K14" i="10" s="1"/>
  <c r="U8" i="2"/>
  <c r="V8" i="2" s="1"/>
  <c r="R45" i="2"/>
  <c r="Y45" i="2"/>
  <c r="G71" i="10"/>
  <c r="H71" i="10" s="1"/>
  <c r="J71" i="10" s="1"/>
  <c r="K71" i="10" s="1"/>
  <c r="G72" i="10"/>
  <c r="H72" i="10" s="1"/>
  <c r="J72" i="10" s="1"/>
  <c r="K72" i="10" s="1"/>
  <c r="G67" i="10"/>
  <c r="H67" i="10" s="1"/>
  <c r="J67" i="10" s="1"/>
  <c r="K67" i="10" s="1"/>
  <c r="G37" i="10"/>
  <c r="H37" i="10" s="1"/>
  <c r="J37" i="10" s="1"/>
  <c r="K37" i="10" s="1"/>
  <c r="G20" i="10"/>
  <c r="H20" i="10" s="1"/>
  <c r="J20" i="10" s="1"/>
  <c r="K20" i="10" s="1"/>
  <c r="G65" i="10"/>
  <c r="H65" i="10" s="1"/>
  <c r="J65" i="10" s="1"/>
  <c r="K65" i="10" s="1"/>
  <c r="G64" i="10"/>
  <c r="H64" i="10" s="1"/>
  <c r="J64" i="10" s="1"/>
  <c r="K64" i="10" s="1"/>
  <c r="G63" i="10"/>
  <c r="H63" i="10" s="1"/>
  <c r="J63" i="10" s="1"/>
  <c r="K63" i="10" s="1"/>
  <c r="G62" i="10"/>
  <c r="H62" i="10" s="1"/>
  <c r="J62" i="10" s="1"/>
  <c r="K62" i="10" s="1"/>
  <c r="G38" i="10"/>
  <c r="H38" i="10" s="1"/>
  <c r="J38" i="10" s="1"/>
  <c r="K38" i="10" s="1"/>
  <c r="G28" i="10"/>
  <c r="H28" i="10" s="1"/>
  <c r="J28" i="10" s="1"/>
  <c r="K28" i="10" s="1"/>
  <c r="G19" i="10"/>
  <c r="H19" i="10" s="1"/>
  <c r="J19" i="10" s="1"/>
  <c r="K19" i="10" s="1"/>
  <c r="G60" i="10"/>
  <c r="H60" i="10" s="1"/>
  <c r="J60" i="10" s="1"/>
  <c r="K60" i="10" s="1"/>
  <c r="G59" i="10"/>
  <c r="H59" i="10" s="1"/>
  <c r="J59" i="10" s="1"/>
  <c r="K59" i="10" s="1"/>
  <c r="G58" i="10"/>
  <c r="H58" i="10" s="1"/>
  <c r="J58" i="10" s="1"/>
  <c r="K58" i="10" s="1"/>
  <c r="G57" i="10"/>
  <c r="H57" i="10" s="1"/>
  <c r="J57" i="10" s="1"/>
  <c r="K57" i="10" s="1"/>
  <c r="G55" i="10"/>
  <c r="H55" i="10" s="1"/>
  <c r="J55" i="10" s="1"/>
  <c r="K55" i="10" s="1"/>
  <c r="G54" i="10"/>
  <c r="H54" i="10" s="1"/>
  <c r="J54" i="10" s="1"/>
  <c r="K54" i="10" s="1"/>
  <c r="G53" i="10"/>
  <c r="H53" i="10" s="1"/>
  <c r="J53" i="10" s="1"/>
  <c r="K53" i="10" s="1"/>
  <c r="G52" i="10"/>
  <c r="H52" i="10" s="1"/>
  <c r="J52" i="10" s="1"/>
  <c r="K52" i="10" s="1"/>
  <c r="G51" i="10"/>
  <c r="H51" i="10" s="1"/>
  <c r="J51" i="10" s="1"/>
  <c r="K51" i="10" s="1"/>
  <c r="G50" i="10"/>
  <c r="H50" i="10" s="1"/>
  <c r="J50" i="10" s="1"/>
  <c r="K50" i="10" s="1"/>
  <c r="G47" i="10"/>
  <c r="H47" i="10" s="1"/>
  <c r="J47" i="10" s="1"/>
  <c r="K47" i="10" s="1"/>
  <c r="G46" i="10"/>
  <c r="H46" i="10" s="1"/>
  <c r="J46" i="10" s="1"/>
  <c r="K46" i="10" s="1"/>
  <c r="G40" i="10"/>
  <c r="H40" i="10" s="1"/>
  <c r="J40" i="10" s="1"/>
  <c r="K40" i="10" s="1"/>
  <c r="G39" i="10"/>
  <c r="H39" i="10" s="1"/>
  <c r="J39" i="10" s="1"/>
  <c r="K39" i="10" s="1"/>
  <c r="G21" i="10"/>
  <c r="H21" i="10" s="1"/>
  <c r="J21" i="10" s="1"/>
  <c r="K21" i="10" s="1"/>
  <c r="G56" i="10"/>
  <c r="H56" i="10" s="1"/>
  <c r="J56" i="10" s="1"/>
  <c r="K56" i="10" s="1"/>
  <c r="G33" i="10"/>
  <c r="H33" i="10" s="1"/>
  <c r="J33" i="10" s="1"/>
  <c r="K33" i="10" s="1"/>
  <c r="G11" i="10"/>
  <c r="H11" i="10" s="1"/>
  <c r="J11" i="10" s="1"/>
  <c r="K11" i="10" s="1"/>
  <c r="G10" i="10"/>
  <c r="H10" i="10" s="1"/>
  <c r="J10" i="10" s="1"/>
  <c r="K10" i="10" s="1"/>
  <c r="G7" i="10"/>
  <c r="H7" i="10" s="1"/>
  <c r="J7" i="10" s="1"/>
  <c r="K7" i="10" s="1"/>
  <c r="E73" i="10"/>
  <c r="U38" i="2"/>
  <c r="V38" i="2" s="1"/>
  <c r="U15" i="2"/>
  <c r="V15" i="2" s="1"/>
  <c r="G29" i="10"/>
  <c r="H29" i="10" s="1"/>
  <c r="J29" i="10" s="1"/>
  <c r="K29" i="10" s="1"/>
  <c r="G12" i="10"/>
  <c r="H12" i="10" s="1"/>
  <c r="J12" i="10" s="1"/>
  <c r="K12" i="10" s="1"/>
  <c r="M39" i="2"/>
  <c r="M38" i="2"/>
  <c r="M16" i="2"/>
  <c r="M20" i="2"/>
  <c r="M22" i="2"/>
  <c r="M23" i="2"/>
  <c r="E32" i="11"/>
  <c r="L20" i="11"/>
  <c r="O20" i="11" s="1"/>
  <c r="L21" i="11"/>
  <c r="O21" i="11" s="1"/>
  <c r="L22" i="11"/>
  <c r="O22" i="11" s="1"/>
  <c r="L31" i="11"/>
  <c r="O31" i="11" s="1"/>
  <c r="L23" i="11"/>
  <c r="O23" i="11" s="1"/>
  <c r="J23" i="11"/>
  <c r="L24" i="11"/>
  <c r="O24" i="11" s="1"/>
  <c r="L25" i="11"/>
  <c r="O25" i="11" s="1"/>
  <c r="L29" i="11"/>
  <c r="O29" i="11" s="1"/>
  <c r="L26" i="11"/>
  <c r="O26" i="11" s="1"/>
  <c r="L27" i="11"/>
  <c r="O27" i="11" s="1"/>
  <c r="L28" i="11"/>
  <c r="O28" i="11" s="1"/>
  <c r="L30" i="11"/>
  <c r="O30" i="11" s="1"/>
  <c r="M69" i="2"/>
  <c r="P69" i="2"/>
  <c r="S69" i="2" s="1"/>
  <c r="Z69" i="2"/>
  <c r="AA69" i="2" s="1"/>
  <c r="U16" i="2"/>
  <c r="V16" i="2" s="1"/>
  <c r="P16" i="2"/>
  <c r="Z16" i="2"/>
  <c r="AA16" i="2" s="1"/>
  <c r="M9" i="2"/>
  <c r="Z9" i="2"/>
  <c r="AA9" i="2" s="1"/>
  <c r="P9" i="2"/>
  <c r="P38" i="2"/>
  <c r="Z38" i="2"/>
  <c r="AA38" i="2" s="1"/>
  <c r="P23" i="2"/>
  <c r="Z23" i="2"/>
  <c r="AA23" i="2" s="1"/>
  <c r="AB23" i="2" s="1"/>
  <c r="M15" i="2"/>
  <c r="Z15" i="2"/>
  <c r="AA15" i="2" s="1"/>
  <c r="P15" i="2"/>
  <c r="U22" i="2"/>
  <c r="V22" i="2" s="1"/>
  <c r="Z22" i="2"/>
  <c r="AA22" i="2" s="1"/>
  <c r="P22" i="2"/>
  <c r="U39" i="2"/>
  <c r="V39" i="2" s="1"/>
  <c r="Z39" i="2"/>
  <c r="AA39" i="2" s="1"/>
  <c r="P39" i="2"/>
  <c r="M21" i="2"/>
  <c r="Z21" i="2"/>
  <c r="AA21" i="2" s="1"/>
  <c r="P21" i="2"/>
  <c r="M37" i="2"/>
  <c r="P37" i="2"/>
  <c r="Z37" i="2"/>
  <c r="AA37" i="2" s="1"/>
  <c r="M40" i="2"/>
  <c r="Z40" i="2"/>
  <c r="AA40" i="2" s="1"/>
  <c r="P40" i="2"/>
  <c r="U4" i="2"/>
  <c r="V4" i="2" s="1"/>
  <c r="Z4" i="2"/>
  <c r="AA4" i="2" s="1"/>
  <c r="P4" i="2"/>
  <c r="M8" i="2"/>
  <c r="Z8" i="2"/>
  <c r="AA8" i="2" s="1"/>
  <c r="P8" i="2"/>
  <c r="U31" i="2"/>
  <c r="V31" i="2" s="1"/>
  <c r="Z31" i="2"/>
  <c r="AA31" i="2" s="1"/>
  <c r="P31" i="2"/>
  <c r="S31" i="2" s="1"/>
  <c r="M68" i="2"/>
  <c r="Z68" i="2"/>
  <c r="AA68" i="2" s="1"/>
  <c r="P68" i="2"/>
  <c r="U20" i="2"/>
  <c r="V20" i="2" s="1"/>
  <c r="Z20" i="2"/>
  <c r="AA20" i="2" s="1"/>
  <c r="AB20" i="2" s="1"/>
  <c r="P20" i="2"/>
  <c r="M29" i="2"/>
  <c r="P29" i="2"/>
  <c r="Z29" i="2"/>
  <c r="AA29" i="2" s="1"/>
  <c r="AB29" i="2" s="1"/>
  <c r="M43" i="2"/>
  <c r="P43" i="2"/>
  <c r="Z43" i="2"/>
  <c r="AA43" i="2" s="1"/>
  <c r="U37" i="2"/>
  <c r="V37" i="2" s="1"/>
  <c r="AB22" i="2" l="1"/>
  <c r="AB39" i="2"/>
  <c r="S29" i="2"/>
  <c r="S43" i="2"/>
  <c r="S8" i="2"/>
  <c r="S9" i="2"/>
  <c r="AB4" i="2"/>
  <c r="AB8" i="2"/>
  <c r="O49" i="2"/>
  <c r="S20" i="2"/>
  <c r="F73" i="10"/>
  <c r="G5" i="10"/>
  <c r="H5" i="10" s="1"/>
  <c r="J5" i="10" s="1"/>
  <c r="K5" i="10" s="1"/>
  <c r="K73" i="10" s="1"/>
  <c r="C8" i="1" s="1"/>
  <c r="R50" i="2"/>
  <c r="Y50" i="2"/>
  <c r="Y18" i="2"/>
  <c r="R18" i="2"/>
  <c r="R19" i="2"/>
  <c r="Y19" i="2"/>
  <c r="Y41" i="2"/>
  <c r="R41" i="2"/>
  <c r="Y11" i="2"/>
  <c r="R11" i="2"/>
  <c r="Y25" i="2"/>
  <c r="R25" i="2"/>
  <c r="Y33" i="2"/>
  <c r="R33" i="2"/>
  <c r="Y34" i="2"/>
  <c r="R34" i="2"/>
  <c r="Y36" i="2"/>
  <c r="R36" i="2"/>
  <c r="Y7" i="2"/>
  <c r="R7" i="2"/>
  <c r="Y6" i="2"/>
  <c r="R6" i="2"/>
  <c r="Y27" i="2"/>
  <c r="R27" i="2"/>
  <c r="R14" i="2"/>
  <c r="Y14" i="2"/>
  <c r="O55" i="2"/>
  <c r="Y56" i="2"/>
  <c r="R56" i="2"/>
  <c r="Y26" i="2"/>
  <c r="R26" i="2"/>
  <c r="O46" i="2"/>
  <c r="Y35" i="2"/>
  <c r="R35" i="2"/>
  <c r="Y51" i="2"/>
  <c r="R51" i="2"/>
  <c r="O13" i="2"/>
  <c r="O63" i="2"/>
  <c r="R32" i="2"/>
  <c r="Y32" i="2"/>
  <c r="O45" i="2"/>
  <c r="O28" i="2"/>
  <c r="R57" i="2"/>
  <c r="Y57" i="2"/>
  <c r="Y71" i="2"/>
  <c r="R71" i="2"/>
  <c r="O59" i="2"/>
  <c r="R52" i="2"/>
  <c r="Y52" i="2"/>
  <c r="R59" i="2"/>
  <c r="Y59" i="2"/>
  <c r="R66" i="2"/>
  <c r="Y66" i="2"/>
  <c r="R13" i="2"/>
  <c r="Y13" i="2"/>
  <c r="Y63" i="2"/>
  <c r="R63" i="2"/>
  <c r="R47" i="2"/>
  <c r="Y47" i="2"/>
  <c r="O32" i="2"/>
  <c r="R46" i="2"/>
  <c r="Y46" i="2"/>
  <c r="Y17" i="2"/>
  <c r="R17" i="2"/>
  <c r="O5" i="2"/>
  <c r="R5" i="2"/>
  <c r="Y5" i="2"/>
  <c r="O42" i="2"/>
  <c r="Y42" i="2"/>
  <c r="R42" i="2"/>
  <c r="O10" i="2"/>
  <c r="O51" i="2"/>
  <c r="R28" i="2"/>
  <c r="Y28" i="2"/>
  <c r="O56" i="2"/>
  <c r="R30" i="2"/>
  <c r="Y30" i="2"/>
  <c r="O30" i="2"/>
  <c r="O52" i="2"/>
  <c r="R44" i="2"/>
  <c r="Y44" i="2"/>
  <c r="O44" i="2"/>
  <c r="Y24" i="2"/>
  <c r="R24" i="2"/>
  <c r="O12" i="2"/>
  <c r="O26" i="2"/>
  <c r="O35" i="2"/>
  <c r="O24" i="2"/>
  <c r="O71" i="2"/>
  <c r="Y10" i="2"/>
  <c r="R10" i="2"/>
  <c r="O57" i="2"/>
  <c r="O67" i="2"/>
  <c r="R12" i="2"/>
  <c r="Y12" i="2"/>
  <c r="O17" i="2"/>
  <c r="O66" i="2"/>
  <c r="R67" i="2"/>
  <c r="Y67" i="2"/>
  <c r="O47" i="2"/>
  <c r="Y55" i="2"/>
  <c r="R55" i="2"/>
  <c r="AB31" i="2"/>
  <c r="AB69" i="2"/>
  <c r="S22" i="2"/>
  <c r="AB9" i="2"/>
  <c r="S23" i="2"/>
  <c r="AB40" i="2"/>
  <c r="AB68" i="2"/>
  <c r="S4" i="2"/>
  <c r="AB15" i="2"/>
  <c r="S16" i="2"/>
  <c r="AB38" i="2"/>
  <c r="S38" i="2"/>
  <c r="AB21" i="2"/>
  <c r="S39" i="2"/>
  <c r="AB43" i="2"/>
  <c r="AB37" i="2"/>
  <c r="P30" i="11"/>
  <c r="R30" i="11" s="1"/>
  <c r="U30" i="11" s="1"/>
  <c r="P23" i="11"/>
  <c r="R23" i="11" s="1"/>
  <c r="U23" i="11" s="1"/>
  <c r="P22" i="11"/>
  <c r="R22" i="11" s="1"/>
  <c r="U22" i="11" s="1"/>
  <c r="P25" i="11"/>
  <c r="R25" i="11" s="1"/>
  <c r="U25" i="11" s="1"/>
  <c r="P24" i="11"/>
  <c r="R24" i="11" s="1"/>
  <c r="U24" i="11" s="1"/>
  <c r="P28" i="11"/>
  <c r="R28" i="11" s="1"/>
  <c r="U28" i="11" s="1"/>
  <c r="P31" i="11"/>
  <c r="R31" i="11" s="1"/>
  <c r="U31" i="11" s="1"/>
  <c r="P27" i="11"/>
  <c r="R27" i="11" s="1"/>
  <c r="U27" i="11" s="1"/>
  <c r="P26" i="11"/>
  <c r="R26" i="11" s="1"/>
  <c r="U26" i="11" s="1"/>
  <c r="P21" i="11"/>
  <c r="R21" i="11" s="1"/>
  <c r="U21" i="11" s="1"/>
  <c r="P29" i="11"/>
  <c r="R29" i="11" s="1"/>
  <c r="U29" i="11" s="1"/>
  <c r="P20" i="11"/>
  <c r="R20" i="11" s="1"/>
  <c r="U20" i="11" s="1"/>
  <c r="Q20" i="11"/>
  <c r="S20" i="11" s="1"/>
  <c r="V20" i="11" s="1"/>
  <c r="W20" i="11" s="1"/>
  <c r="S21" i="2"/>
  <c r="S40" i="2"/>
  <c r="AB16" i="2"/>
  <c r="S68" i="2"/>
  <c r="S15" i="2"/>
  <c r="S37" i="2"/>
  <c r="Q23" i="11" l="1"/>
  <c r="S23" i="11" s="1"/>
  <c r="V23" i="11" s="1"/>
  <c r="W23" i="11" s="1"/>
  <c r="Q21" i="11"/>
  <c r="S21" i="11" s="1"/>
  <c r="V21" i="11" s="1"/>
  <c r="W21" i="11" s="1"/>
  <c r="U35" i="2"/>
  <c r="V35" i="2" s="1"/>
  <c r="Q24" i="11"/>
  <c r="S24" i="11" s="1"/>
  <c r="V24" i="11" s="1"/>
  <c r="W24" i="11" s="1"/>
  <c r="Z49" i="2"/>
  <c r="P49" i="2"/>
  <c r="P55" i="2"/>
  <c r="Z55" i="2"/>
  <c r="AA55" i="2" s="1"/>
  <c r="U55" i="2"/>
  <c r="V55" i="2" s="1"/>
  <c r="P46" i="2"/>
  <c r="Z46" i="2"/>
  <c r="AA46" i="2" s="1"/>
  <c r="U46" i="2"/>
  <c r="V46" i="2" s="1"/>
  <c r="P13" i="2"/>
  <c r="Z13" i="2"/>
  <c r="AA13" i="2" s="1"/>
  <c r="Z63" i="2"/>
  <c r="AA63" i="2" s="1"/>
  <c r="P63" i="2"/>
  <c r="Z45" i="2"/>
  <c r="AA45" i="2" s="1"/>
  <c r="P45" i="2"/>
  <c r="P28" i="2"/>
  <c r="Z28" i="2"/>
  <c r="AA28" i="2" s="1"/>
  <c r="P59" i="2"/>
  <c r="Z59" i="2"/>
  <c r="AA59" i="2" s="1"/>
  <c r="Y49" i="2"/>
  <c r="AA49" i="2" s="1"/>
  <c r="R49" i="2"/>
  <c r="P32" i="2"/>
  <c r="Z32" i="2"/>
  <c r="AA32" i="2" s="1"/>
  <c r="U32" i="2"/>
  <c r="V32" i="2" s="1"/>
  <c r="P5" i="2"/>
  <c r="Z5" i="2"/>
  <c r="AA5" i="2" s="1"/>
  <c r="P42" i="2"/>
  <c r="Z42" i="2"/>
  <c r="AA42" i="2" s="1"/>
  <c r="P10" i="2"/>
  <c r="Z10" i="2"/>
  <c r="AA10" i="2" s="1"/>
  <c r="M10" i="2"/>
  <c r="S10" i="2" s="1"/>
  <c r="Z51" i="2"/>
  <c r="AA51" i="2" s="1"/>
  <c r="P51" i="2"/>
  <c r="Z56" i="2"/>
  <c r="AA56" i="2" s="1"/>
  <c r="P56" i="2"/>
  <c r="P30" i="2"/>
  <c r="Z30" i="2"/>
  <c r="AA30" i="2" s="1"/>
  <c r="Z52" i="2"/>
  <c r="AA52" i="2" s="1"/>
  <c r="P52" i="2"/>
  <c r="U52" i="2"/>
  <c r="V52" i="2" s="1"/>
  <c r="P44" i="2"/>
  <c r="Z44" i="2"/>
  <c r="AA44" i="2" s="1"/>
  <c r="Z12" i="2"/>
  <c r="AA12" i="2" s="1"/>
  <c r="P12" i="2"/>
  <c r="Z26" i="2"/>
  <c r="AA26" i="2" s="1"/>
  <c r="P26" i="2"/>
  <c r="P35" i="2"/>
  <c r="Z35" i="2"/>
  <c r="AA35" i="2" s="1"/>
  <c r="P24" i="2"/>
  <c r="Z24" i="2"/>
  <c r="AA24" i="2" s="1"/>
  <c r="P71" i="2"/>
  <c r="Z71" i="2"/>
  <c r="AA71" i="2" s="1"/>
  <c r="M71" i="2"/>
  <c r="S71" i="2" s="1"/>
  <c r="Z57" i="2"/>
  <c r="AA57" i="2" s="1"/>
  <c r="P57" i="2"/>
  <c r="M57" i="2"/>
  <c r="Z67" i="2"/>
  <c r="AA67" i="2" s="1"/>
  <c r="P67" i="2"/>
  <c r="P17" i="2"/>
  <c r="Z17" i="2"/>
  <c r="AA17" i="2" s="1"/>
  <c r="P66" i="2"/>
  <c r="Z66" i="2"/>
  <c r="AA66" i="2" s="1"/>
  <c r="P47" i="2"/>
  <c r="Z47" i="2"/>
  <c r="AA47" i="2" s="1"/>
  <c r="M46" i="2"/>
  <c r="M13" i="2"/>
  <c r="U13" i="2"/>
  <c r="V13" i="2" s="1"/>
  <c r="U63" i="2"/>
  <c r="V63" i="2" s="1"/>
  <c r="M63" i="2"/>
  <c r="U45" i="2"/>
  <c r="V45" i="2" s="1"/>
  <c r="M45" i="2"/>
  <c r="U28" i="2"/>
  <c r="V28" i="2" s="1"/>
  <c r="M28" i="2"/>
  <c r="M59" i="2"/>
  <c r="U59" i="2"/>
  <c r="V59" i="2" s="1"/>
  <c r="M32" i="2"/>
  <c r="U5" i="2"/>
  <c r="V5" i="2" s="1"/>
  <c r="M5" i="2"/>
  <c r="U42" i="2"/>
  <c r="V42" i="2" s="1"/>
  <c r="M42" i="2"/>
  <c r="U10" i="2"/>
  <c r="V10" i="2" s="1"/>
  <c r="U51" i="2"/>
  <c r="V51" i="2" s="1"/>
  <c r="M51" i="2"/>
  <c r="M56" i="2"/>
  <c r="U56" i="2"/>
  <c r="V56" i="2" s="1"/>
  <c r="M30" i="2"/>
  <c r="U30" i="2"/>
  <c r="V30" i="2" s="1"/>
  <c r="M52" i="2"/>
  <c r="U44" i="2"/>
  <c r="V44" i="2" s="1"/>
  <c r="M44" i="2"/>
  <c r="M12" i="2"/>
  <c r="U12" i="2"/>
  <c r="V12" i="2" s="1"/>
  <c r="M26" i="2"/>
  <c r="U26" i="2"/>
  <c r="V26" i="2" s="1"/>
  <c r="M35" i="2"/>
  <c r="M24" i="2"/>
  <c r="U24" i="2"/>
  <c r="V24" i="2" s="1"/>
  <c r="U71" i="2"/>
  <c r="V71" i="2" s="1"/>
  <c r="U57" i="2"/>
  <c r="V57" i="2" s="1"/>
  <c r="U67" i="2"/>
  <c r="V67" i="2" s="1"/>
  <c r="M67" i="2"/>
  <c r="M17" i="2"/>
  <c r="U17" i="2"/>
  <c r="V17" i="2" s="1"/>
  <c r="U66" i="2"/>
  <c r="V66" i="2" s="1"/>
  <c r="U47" i="2"/>
  <c r="V47" i="2" s="1"/>
  <c r="M55" i="2"/>
  <c r="M66" i="2"/>
  <c r="M49" i="2"/>
  <c r="U49" i="2"/>
  <c r="V49" i="2" s="1"/>
  <c r="M47" i="2"/>
  <c r="O7" i="2"/>
  <c r="O18" i="2"/>
  <c r="O19" i="2"/>
  <c r="O41" i="2"/>
  <c r="O11" i="2"/>
  <c r="O25" i="2"/>
  <c r="O33" i="2"/>
  <c r="O34" i="2"/>
  <c r="O14" i="2"/>
  <c r="O6" i="2"/>
  <c r="O50" i="2"/>
  <c r="O36" i="2"/>
  <c r="O27" i="2"/>
  <c r="O64" i="2"/>
  <c r="O58" i="2"/>
  <c r="O70" i="2"/>
  <c r="O53" i="2"/>
  <c r="O54" i="2"/>
  <c r="O60" i="2"/>
  <c r="O61" i="2"/>
  <c r="O62" i="2"/>
  <c r="O65" i="2"/>
  <c r="R64" i="2"/>
  <c r="Y64" i="2"/>
  <c r="Y58" i="2"/>
  <c r="R58" i="2"/>
  <c r="R70" i="2"/>
  <c r="Y70" i="2"/>
  <c r="Y53" i="2"/>
  <c r="R53" i="2"/>
  <c r="Y54" i="2"/>
  <c r="R54" i="2"/>
  <c r="Y60" i="2"/>
  <c r="R60" i="2"/>
  <c r="Y61" i="2"/>
  <c r="R61" i="2"/>
  <c r="R62" i="2"/>
  <c r="Y62" i="2"/>
  <c r="Y65" i="2"/>
  <c r="R65" i="2"/>
  <c r="Q29" i="11"/>
  <c r="S29" i="11" s="1"/>
  <c r="V29" i="11" s="1"/>
  <c r="W29" i="11" s="1"/>
  <c r="Q28" i="11"/>
  <c r="S28" i="11" s="1"/>
  <c r="V28" i="11" s="1"/>
  <c r="W28" i="11" s="1"/>
  <c r="Q27" i="11"/>
  <c r="S27" i="11" s="1"/>
  <c r="V27" i="11" s="1"/>
  <c r="W27" i="11" s="1"/>
  <c r="Q26" i="11"/>
  <c r="S26" i="11" s="1"/>
  <c r="V26" i="11" s="1"/>
  <c r="W26" i="11" s="1"/>
  <c r="Q31" i="11"/>
  <c r="S31" i="11" s="1"/>
  <c r="V31" i="11" s="1"/>
  <c r="W31" i="11" s="1"/>
  <c r="Q22" i="11"/>
  <c r="S22" i="11" s="1"/>
  <c r="V22" i="11" s="1"/>
  <c r="W22" i="11" s="1"/>
  <c r="Q25" i="11"/>
  <c r="S25" i="11" s="1"/>
  <c r="V25" i="11" s="1"/>
  <c r="W25" i="11" s="1"/>
  <c r="Q30" i="11"/>
  <c r="S30" i="11" s="1"/>
  <c r="V30" i="11" s="1"/>
  <c r="W30" i="11" s="1"/>
  <c r="S32" i="2" l="1"/>
  <c r="S51" i="2"/>
  <c r="S59" i="2"/>
  <c r="AB5" i="2"/>
  <c r="S30" i="2"/>
  <c r="S52" i="2"/>
  <c r="AB71" i="2"/>
  <c r="S67" i="2"/>
  <c r="U18" i="2"/>
  <c r="V18" i="2" s="1"/>
  <c r="AB49" i="2"/>
  <c r="AB10" i="2"/>
  <c r="S56" i="2"/>
  <c r="S12" i="2"/>
  <c r="S57" i="2"/>
  <c r="AB66" i="2"/>
  <c r="AB55" i="2"/>
  <c r="S47" i="2"/>
  <c r="AB47" i="2"/>
  <c r="S46" i="2"/>
  <c r="AB13" i="2"/>
  <c r="AB63" i="2"/>
  <c r="S63" i="2"/>
  <c r="AB45" i="2"/>
  <c r="AB28" i="2"/>
  <c r="U61" i="2"/>
  <c r="V61" i="2" s="1"/>
  <c r="M33" i="2"/>
  <c r="U33" i="2"/>
  <c r="V33" i="2" s="1"/>
  <c r="AB52" i="2"/>
  <c r="Z7" i="2"/>
  <c r="AA7" i="2" s="1"/>
  <c r="P7" i="2"/>
  <c r="U7" i="2"/>
  <c r="V7" i="2" s="1"/>
  <c r="Z18" i="2"/>
  <c r="AA18" i="2" s="1"/>
  <c r="P18" i="2"/>
  <c r="M18" i="2"/>
  <c r="Z19" i="2"/>
  <c r="AA19" i="2" s="1"/>
  <c r="P19" i="2"/>
  <c r="P41" i="2"/>
  <c r="Z41" i="2"/>
  <c r="AA41" i="2" s="1"/>
  <c r="M41" i="2"/>
  <c r="P11" i="2"/>
  <c r="Z11" i="2"/>
  <c r="AA11" i="2" s="1"/>
  <c r="U11" i="2"/>
  <c r="V11" i="2" s="1"/>
  <c r="P25" i="2"/>
  <c r="Z25" i="2"/>
  <c r="AA25" i="2" s="1"/>
  <c r="Z33" i="2"/>
  <c r="AA33" i="2" s="1"/>
  <c r="P33" i="2"/>
  <c r="Z34" i="2"/>
  <c r="AA34" i="2" s="1"/>
  <c r="P34" i="2"/>
  <c r="Z14" i="2"/>
  <c r="AA14" i="2" s="1"/>
  <c r="P14" i="2"/>
  <c r="Z6" i="2"/>
  <c r="AA6" i="2" s="1"/>
  <c r="P6" i="2"/>
  <c r="Z50" i="2"/>
  <c r="AA50" i="2" s="1"/>
  <c r="P50" i="2"/>
  <c r="P36" i="2"/>
  <c r="Z36" i="2"/>
  <c r="AA36" i="2" s="1"/>
  <c r="Z27" i="2"/>
  <c r="AA27" i="2" s="1"/>
  <c r="P27" i="2"/>
  <c r="U27" i="2"/>
  <c r="V27" i="2" s="1"/>
  <c r="AB27" i="2" s="1"/>
  <c r="Z64" i="2"/>
  <c r="AA64" i="2" s="1"/>
  <c r="P64" i="2"/>
  <c r="S64" i="2" s="1"/>
  <c r="U64" i="2"/>
  <c r="V64" i="2" s="1"/>
  <c r="Z58" i="2"/>
  <c r="AA58" i="2" s="1"/>
  <c r="P58" i="2"/>
  <c r="P70" i="2"/>
  <c r="Z70" i="2"/>
  <c r="AA70" i="2" s="1"/>
  <c r="P53" i="2"/>
  <c r="Z53" i="2"/>
  <c r="AA53" i="2" s="1"/>
  <c r="Z54" i="2"/>
  <c r="AA54" i="2" s="1"/>
  <c r="P54" i="2"/>
  <c r="U54" i="2"/>
  <c r="V54" i="2" s="1"/>
  <c r="P60" i="2"/>
  <c r="Z60" i="2"/>
  <c r="AA60" i="2" s="1"/>
  <c r="U60" i="2"/>
  <c r="V60" i="2" s="1"/>
  <c r="Z61" i="2"/>
  <c r="AA61" i="2" s="1"/>
  <c r="P61" i="2"/>
  <c r="Z62" i="2"/>
  <c r="AA62" i="2" s="1"/>
  <c r="P62" i="2"/>
  <c r="P65" i="2"/>
  <c r="Z65" i="2"/>
  <c r="AA65" i="2" s="1"/>
  <c r="AB46" i="2"/>
  <c r="AB32" i="2"/>
  <c r="S28" i="2"/>
  <c r="AB59" i="2"/>
  <c r="S5" i="2"/>
  <c r="AB42" i="2"/>
  <c r="S42" i="2"/>
  <c r="AB51" i="2"/>
  <c r="AB56" i="2"/>
  <c r="AB30" i="2"/>
  <c r="AB44" i="2"/>
  <c r="AB12" i="2"/>
  <c r="S26" i="2"/>
  <c r="S35" i="2"/>
  <c r="S24" i="2"/>
  <c r="AB24" i="2"/>
  <c r="AB57" i="2"/>
  <c r="S17" i="2"/>
  <c r="AB17" i="2"/>
  <c r="M64" i="2"/>
  <c r="M58" i="2"/>
  <c r="M70" i="2"/>
  <c r="U53" i="2"/>
  <c r="V53" i="2" s="1"/>
  <c r="M60" i="2"/>
  <c r="M62" i="2"/>
  <c r="S44" i="2"/>
  <c r="AB26" i="2"/>
  <c r="AB67" i="2"/>
  <c r="M27" i="2"/>
  <c r="U58" i="2"/>
  <c r="V58" i="2" s="1"/>
  <c r="M61" i="2"/>
  <c r="S55" i="2"/>
  <c r="S66" i="2"/>
  <c r="AB35" i="2"/>
  <c r="S49" i="2"/>
  <c r="M7" i="2"/>
  <c r="M19" i="2"/>
  <c r="U19" i="2"/>
  <c r="V19" i="2" s="1"/>
  <c r="U41" i="2"/>
  <c r="V41" i="2" s="1"/>
  <c r="M11" i="2"/>
  <c r="U25" i="2"/>
  <c r="V25" i="2" s="1"/>
  <c r="M25" i="2"/>
  <c r="M34" i="2"/>
  <c r="M14" i="2"/>
  <c r="U14" i="2"/>
  <c r="V14" i="2" s="1"/>
  <c r="AB14" i="2" s="1"/>
  <c r="U6" i="2"/>
  <c r="V6" i="2" s="1"/>
  <c r="U50" i="2"/>
  <c r="M36" i="2"/>
  <c r="U36" i="2"/>
  <c r="V36" i="2" s="1"/>
  <c r="U70" i="2"/>
  <c r="V70" i="2" s="1"/>
  <c r="U62" i="2"/>
  <c r="V62" i="2" s="1"/>
  <c r="U65" i="2"/>
  <c r="V65" i="2" s="1"/>
  <c r="U34" i="2"/>
  <c r="V34" i="2" s="1"/>
  <c r="M6" i="2"/>
  <c r="M50" i="2"/>
  <c r="M53" i="2"/>
  <c r="M54" i="2"/>
  <c r="M65" i="2"/>
  <c r="S45" i="2"/>
  <c r="S13" i="2"/>
  <c r="W32" i="11"/>
  <c r="O48" i="2"/>
  <c r="AB19" i="2" l="1"/>
  <c r="AB61" i="2"/>
  <c r="S33" i="2"/>
  <c r="AB18" i="2"/>
  <c r="AB41" i="2"/>
  <c r="AB33" i="2"/>
  <c r="AB54" i="2"/>
  <c r="S27" i="2"/>
  <c r="S70" i="2"/>
  <c r="S54" i="2"/>
  <c r="S60" i="2"/>
  <c r="AB62" i="2"/>
  <c r="AB65" i="2"/>
  <c r="S41" i="2"/>
  <c r="AB11" i="2"/>
  <c r="S6" i="2"/>
  <c r="S50" i="2"/>
  <c r="S18" i="2"/>
  <c r="V50" i="2"/>
  <c r="AB50" i="2" s="1"/>
  <c r="S36" i="2"/>
  <c r="AB70" i="2"/>
  <c r="AB60" i="2"/>
  <c r="S61" i="2"/>
  <c r="S62" i="2"/>
  <c r="S58" i="2"/>
  <c r="AB53" i="2"/>
  <c r="AB58" i="2"/>
  <c r="AB34" i="2"/>
  <c r="S53" i="2"/>
  <c r="S65" i="2"/>
  <c r="AB7" i="2"/>
  <c r="S7" i="2"/>
  <c r="S19" i="2"/>
  <c r="AB64" i="2"/>
  <c r="AB6" i="2"/>
  <c r="AB36" i="2"/>
  <c r="S11" i="2"/>
  <c r="S25" i="2"/>
  <c r="AB25" i="2"/>
  <c r="S34" i="2"/>
  <c r="S14" i="2"/>
  <c r="K69" i="2"/>
  <c r="K66" i="2"/>
  <c r="K63" i="2"/>
  <c r="K61" i="2"/>
  <c r="K58" i="2"/>
  <c r="K55" i="2"/>
  <c r="K52" i="2"/>
  <c r="K49" i="2"/>
  <c r="K47" i="2"/>
  <c r="K44" i="2"/>
  <c r="K41" i="2"/>
  <c r="K38" i="2"/>
  <c r="K35" i="2"/>
  <c r="K33" i="2"/>
  <c r="K30" i="2"/>
  <c r="K27" i="2"/>
  <c r="K24" i="2"/>
  <c r="K21" i="2"/>
  <c r="K18" i="2"/>
  <c r="K16" i="2"/>
  <c r="K14" i="2"/>
  <c r="K11" i="2"/>
  <c r="K8" i="2"/>
  <c r="K5" i="2"/>
  <c r="K71" i="2"/>
  <c r="K68" i="2"/>
  <c r="K65" i="2"/>
  <c r="K62" i="2"/>
  <c r="K59" i="2"/>
  <c r="K57" i="2"/>
  <c r="K54" i="2"/>
  <c r="K51" i="2"/>
  <c r="K48" i="2"/>
  <c r="K45" i="2"/>
  <c r="K42" i="2"/>
  <c r="K40" i="2"/>
  <c r="K37" i="2"/>
  <c r="K34" i="2"/>
  <c r="K31" i="2"/>
  <c r="K28" i="2"/>
  <c r="K25" i="2"/>
  <c r="K23" i="2"/>
  <c r="K20" i="2"/>
  <c r="K17" i="2"/>
  <c r="K12" i="2"/>
  <c r="K10" i="2"/>
  <c r="K7" i="2"/>
  <c r="K4" i="2"/>
  <c r="K70" i="2"/>
  <c r="K67" i="2"/>
  <c r="K64" i="2"/>
  <c r="K60" i="2"/>
  <c r="K56" i="2"/>
  <c r="K53" i="2"/>
  <c r="K50" i="2"/>
  <c r="K46" i="2"/>
  <c r="K43" i="2"/>
  <c r="K39" i="2"/>
  <c r="K36" i="2"/>
  <c r="K32" i="2"/>
  <c r="K29" i="2"/>
  <c r="K26" i="2"/>
  <c r="K22" i="2"/>
  <c r="K19" i="2"/>
  <c r="K15" i="2"/>
  <c r="K13" i="2"/>
  <c r="K9" i="2"/>
  <c r="K6" i="2"/>
  <c r="M48" i="2"/>
  <c r="U48" i="2"/>
  <c r="Z48" i="2"/>
  <c r="P48" i="2"/>
  <c r="I7" i="17" l="1"/>
  <c r="J7" i="17" s="1"/>
  <c r="K7" i="17" s="1"/>
  <c r="I26" i="18"/>
  <c r="J26" i="18" s="1"/>
  <c r="I25" i="18"/>
  <c r="J25" i="18" s="1"/>
  <c r="I24" i="18"/>
  <c r="J24" i="18" s="1"/>
  <c r="I23" i="18"/>
  <c r="J23" i="18" s="1"/>
  <c r="I22" i="18"/>
  <c r="J22" i="18" s="1"/>
  <c r="I21" i="18"/>
  <c r="J21" i="18" s="1"/>
  <c r="I20" i="18"/>
  <c r="J20" i="18" s="1"/>
  <c r="I19" i="18"/>
  <c r="J19" i="18" s="1"/>
  <c r="I18" i="18"/>
  <c r="J18" i="18" s="1"/>
  <c r="I17" i="18"/>
  <c r="J17" i="18" s="1"/>
  <c r="I16" i="18"/>
  <c r="J16" i="18" s="1"/>
  <c r="I15" i="18"/>
  <c r="J15" i="18" s="1"/>
  <c r="I14" i="18"/>
  <c r="J14" i="18" s="1"/>
  <c r="I13" i="18"/>
  <c r="J13" i="18" s="1"/>
  <c r="I12" i="18"/>
  <c r="J12" i="18" s="1"/>
  <c r="I11" i="18"/>
  <c r="J11" i="18" s="1"/>
  <c r="I10" i="18"/>
  <c r="J10" i="18" s="1"/>
  <c r="I9" i="18"/>
  <c r="J9" i="18" s="1"/>
  <c r="I8" i="18"/>
  <c r="J8" i="18" s="1"/>
  <c r="I7" i="18"/>
  <c r="J7" i="18" s="1"/>
  <c r="I6" i="18"/>
  <c r="J6" i="18" s="1"/>
  <c r="I5" i="18"/>
  <c r="J5" i="18" s="1"/>
  <c r="I4" i="18"/>
  <c r="J4" i="18" s="1"/>
  <c r="I6" i="17"/>
  <c r="J6" i="17" s="1"/>
  <c r="K6" i="17" s="1"/>
  <c r="I5" i="17"/>
  <c r="J5" i="17" s="1"/>
  <c r="K5" i="17" s="1"/>
  <c r="M16" i="13"/>
  <c r="I16" i="13"/>
  <c r="I49" i="3"/>
  <c r="K49" i="3" s="1"/>
  <c r="P49" i="3" s="1"/>
  <c r="M7" i="13"/>
  <c r="I5" i="3"/>
  <c r="K5" i="3" s="1"/>
  <c r="P5" i="3" s="1"/>
  <c r="I46" i="3"/>
  <c r="K46" i="3" s="1"/>
  <c r="P46" i="3" s="1"/>
  <c r="I42" i="3"/>
  <c r="K42" i="3" s="1"/>
  <c r="P42" i="3" s="1"/>
  <c r="I38" i="3"/>
  <c r="K38" i="3" s="1"/>
  <c r="P38" i="3" s="1"/>
  <c r="I26" i="3"/>
  <c r="K26" i="3" s="1"/>
  <c r="P26" i="3" s="1"/>
  <c r="I36" i="3"/>
  <c r="K36" i="3" s="1"/>
  <c r="P36" i="3" s="1"/>
  <c r="M5" i="13"/>
  <c r="I35" i="3"/>
  <c r="K35" i="3" s="1"/>
  <c r="P35" i="3" s="1"/>
  <c r="I56" i="3"/>
  <c r="K56" i="3" s="1"/>
  <c r="P56" i="3" s="1"/>
  <c r="I60" i="3"/>
  <c r="K60" i="3" s="1"/>
  <c r="P60" i="3" s="1"/>
  <c r="I16" i="3"/>
  <c r="K16" i="3" s="1"/>
  <c r="P16" i="3" s="1"/>
  <c r="I40" i="3"/>
  <c r="K40" i="3" s="1"/>
  <c r="P40" i="3" s="1"/>
  <c r="I9" i="3"/>
  <c r="K9" i="3" s="1"/>
  <c r="P9" i="3" s="1"/>
  <c r="I7" i="3"/>
  <c r="K7" i="3" s="1"/>
  <c r="P7" i="3" s="1"/>
  <c r="I31" i="3"/>
  <c r="K31" i="3" s="1"/>
  <c r="P31" i="3" s="1"/>
  <c r="I19" i="3"/>
  <c r="K19" i="3" s="1"/>
  <c r="P19" i="3" s="1"/>
  <c r="I22" i="3"/>
  <c r="K22" i="3" s="1"/>
  <c r="P22" i="3" s="1"/>
  <c r="I14" i="3"/>
  <c r="K14" i="3" s="1"/>
  <c r="P14" i="3" s="1"/>
  <c r="I17" i="13"/>
  <c r="I52" i="3"/>
  <c r="K52" i="3" s="1"/>
  <c r="P52" i="3" s="1"/>
  <c r="I18" i="3"/>
  <c r="K18" i="3" s="1"/>
  <c r="P18" i="3" s="1"/>
  <c r="I7" i="13"/>
  <c r="I14" i="13"/>
  <c r="M14" i="13"/>
  <c r="M9" i="13"/>
  <c r="I5" i="13"/>
  <c r="I11" i="3"/>
  <c r="K11" i="3" s="1"/>
  <c r="P11" i="3" s="1"/>
  <c r="I59" i="3"/>
  <c r="K59" i="3" s="1"/>
  <c r="P59" i="3" s="1"/>
  <c r="I15" i="13"/>
  <c r="I11" i="13"/>
  <c r="I34" i="3"/>
  <c r="K34" i="3" s="1"/>
  <c r="P34" i="3" s="1"/>
  <c r="I24" i="3"/>
  <c r="K24" i="3" s="1"/>
  <c r="P24" i="3" s="1"/>
  <c r="I12" i="3"/>
  <c r="K12" i="3" s="1"/>
  <c r="P12" i="3" s="1"/>
  <c r="I13" i="3"/>
  <c r="K13" i="3" s="1"/>
  <c r="P13" i="3" s="1"/>
  <c r="I45" i="3"/>
  <c r="K45" i="3" s="1"/>
  <c r="P45" i="3" s="1"/>
  <c r="I57" i="3"/>
  <c r="K57" i="3" s="1"/>
  <c r="P57" i="3" s="1"/>
  <c r="I13" i="13"/>
  <c r="I37" i="3"/>
  <c r="K37" i="3" s="1"/>
  <c r="P37" i="3" s="1"/>
  <c r="I41" i="3"/>
  <c r="K41" i="3" s="1"/>
  <c r="P41" i="3" s="1"/>
  <c r="I61" i="3"/>
  <c r="K61" i="3" s="1"/>
  <c r="P61" i="3" s="1"/>
  <c r="M6" i="13"/>
  <c r="I54" i="3"/>
  <c r="K54" i="3" s="1"/>
  <c r="P54" i="3" s="1"/>
  <c r="I58" i="3"/>
  <c r="K58" i="3" s="1"/>
  <c r="P58" i="3" s="1"/>
  <c r="I8" i="13"/>
  <c r="I10" i="13"/>
  <c r="M10" i="13"/>
  <c r="I32" i="3"/>
  <c r="K32" i="3" s="1"/>
  <c r="P32" i="3" s="1"/>
  <c r="I44" i="3"/>
  <c r="K44" i="3" s="1"/>
  <c r="P44" i="3" s="1"/>
  <c r="I28" i="3"/>
  <c r="K28" i="3" s="1"/>
  <c r="P28" i="3" s="1"/>
  <c r="I17" i="3"/>
  <c r="K17" i="3" s="1"/>
  <c r="P17" i="3" s="1"/>
  <c r="I8" i="3"/>
  <c r="K8" i="3" s="1"/>
  <c r="P8" i="3" s="1"/>
  <c r="I33" i="3"/>
  <c r="K33" i="3" s="1"/>
  <c r="P33" i="3" s="1"/>
  <c r="I25" i="3"/>
  <c r="K25" i="3" s="1"/>
  <c r="P25" i="3" s="1"/>
  <c r="I51" i="3"/>
  <c r="K51" i="3" s="1"/>
  <c r="P51" i="3" s="1"/>
  <c r="I12" i="13"/>
  <c r="M8" i="13"/>
  <c r="I50" i="3"/>
  <c r="K50" i="3" s="1"/>
  <c r="P50" i="3" s="1"/>
  <c r="I23" i="3"/>
  <c r="K23" i="3" s="1"/>
  <c r="P23" i="3" s="1"/>
  <c r="M15" i="13"/>
  <c r="I20" i="3"/>
  <c r="K20" i="3" s="1"/>
  <c r="P20" i="3" s="1"/>
  <c r="I10" i="3"/>
  <c r="K10" i="3" s="1"/>
  <c r="P10" i="3" s="1"/>
  <c r="I21" i="3"/>
  <c r="K21" i="3" s="1"/>
  <c r="P21" i="3" s="1"/>
  <c r="I55" i="3"/>
  <c r="K55" i="3" s="1"/>
  <c r="P55" i="3" s="1"/>
  <c r="I29" i="3"/>
  <c r="K29" i="3" s="1"/>
  <c r="P29" i="3" s="1"/>
  <c r="I9" i="13"/>
  <c r="I30" i="3"/>
  <c r="K30" i="3" s="1"/>
  <c r="P30" i="3" s="1"/>
  <c r="I6" i="13"/>
  <c r="I27" i="3"/>
  <c r="K27" i="3" s="1"/>
  <c r="P27" i="3" s="1"/>
  <c r="M13" i="13"/>
  <c r="I53" i="3"/>
  <c r="K53" i="3" s="1"/>
  <c r="P53" i="3" s="1"/>
  <c r="I6" i="3"/>
  <c r="K6" i="3" s="1"/>
  <c r="P6" i="3" s="1"/>
  <c r="I48" i="3"/>
  <c r="K48" i="3" s="1"/>
  <c r="P48" i="3" s="1"/>
  <c r="M11" i="13"/>
  <c r="I39" i="3"/>
  <c r="K39" i="3" s="1"/>
  <c r="P39" i="3" s="1"/>
  <c r="M12" i="13"/>
  <c r="I43" i="3"/>
  <c r="K43" i="3" s="1"/>
  <c r="P43" i="3" s="1"/>
  <c r="I15" i="3"/>
  <c r="K15" i="3" s="1"/>
  <c r="P15" i="3" s="1"/>
  <c r="I47" i="3"/>
  <c r="K47" i="3" s="1"/>
  <c r="P47" i="3" s="1"/>
  <c r="M17" i="13"/>
  <c r="V48" i="2"/>
  <c r="J27" i="18" l="1"/>
  <c r="K8" i="17"/>
  <c r="P62" i="3"/>
  <c r="Y48" i="2"/>
  <c r="R48" i="2"/>
  <c r="S48" i="2" s="1"/>
  <c r="AA48" i="2" l="1"/>
  <c r="AB48" i="2" s="1"/>
  <c r="AB72" i="2" l="1"/>
  <c r="C5" i="1" s="1"/>
  <c r="O16" i="13" l="1"/>
  <c r="O14" i="13"/>
  <c r="O13" i="13"/>
  <c r="K9" i="13"/>
  <c r="K16" i="13"/>
  <c r="K15" i="13"/>
  <c r="K17" i="13"/>
  <c r="K8" i="13"/>
  <c r="K6" i="13"/>
  <c r="K5" i="13"/>
  <c r="O9" i="13"/>
  <c r="O15" i="13"/>
  <c r="O17" i="13"/>
  <c r="O8" i="13"/>
  <c r="O12" i="13"/>
  <c r="O11" i="13"/>
  <c r="O6" i="13"/>
  <c r="O5" i="13"/>
  <c r="I7" i="11" l="1"/>
  <c r="N7" i="11" s="1"/>
  <c r="P6" i="13"/>
  <c r="P8" i="13"/>
  <c r="E22" i="15"/>
  <c r="F22" i="15" s="1"/>
  <c r="P17" i="13"/>
  <c r="E7" i="15"/>
  <c r="P15" i="13"/>
  <c r="E8" i="15"/>
  <c r="P16" i="13"/>
  <c r="P9" i="13"/>
  <c r="E14" i="15"/>
  <c r="F14" i="15" s="1"/>
  <c r="P5" i="13"/>
  <c r="E10" i="15"/>
  <c r="I23" i="11" l="1"/>
  <c r="K13" i="13" l="1"/>
  <c r="P13" i="13" l="1"/>
  <c r="I14" i="11" l="1"/>
  <c r="F13" i="15"/>
  <c r="I30" i="11"/>
  <c r="J30" i="11" s="1"/>
  <c r="F15" i="15"/>
  <c r="I8" i="11"/>
  <c r="I24" i="11"/>
  <c r="J24" i="11" s="1"/>
  <c r="F6" i="15"/>
  <c r="I4" i="11"/>
  <c r="I20" i="11"/>
  <c r="J20" i="11" s="1"/>
  <c r="I22" i="11"/>
  <c r="J22" i="11" s="1"/>
  <c r="I6" i="11"/>
  <c r="I31" i="11"/>
  <c r="J31" i="11" s="1"/>
  <c r="I15" i="11"/>
  <c r="N15" i="11" l="1"/>
  <c r="O15" i="11" s="1"/>
  <c r="J15" i="11"/>
  <c r="J4" i="11"/>
  <c r="N4" i="11"/>
  <c r="O4" i="11" s="1"/>
  <c r="N8" i="11"/>
  <c r="O8" i="11" s="1"/>
  <c r="J8" i="11"/>
  <c r="J6" i="11"/>
  <c r="N6" i="11"/>
  <c r="O6" i="11" s="1"/>
  <c r="F12" i="15"/>
  <c r="I29" i="11"/>
  <c r="J29" i="11" s="1"/>
  <c r="I13" i="11"/>
  <c r="N14" i="11"/>
  <c r="O14" i="11" s="1"/>
  <c r="J14" i="11"/>
  <c r="P6" i="11" l="1"/>
  <c r="R6" i="11" s="1"/>
  <c r="U6" i="11" s="1"/>
  <c r="Q6" i="11"/>
  <c r="S6" i="11" s="1"/>
  <c r="V6" i="11" s="1"/>
  <c r="W6" i="11" s="1"/>
  <c r="X6" i="11" s="1"/>
  <c r="P8" i="11"/>
  <c r="R8" i="11" s="1"/>
  <c r="U8" i="11" s="1"/>
  <c r="I27" i="11"/>
  <c r="J27" i="11" s="1"/>
  <c r="I11" i="11"/>
  <c r="P14" i="11"/>
  <c r="R14" i="11" s="1"/>
  <c r="U14" i="11" s="1"/>
  <c r="Q14" i="11"/>
  <c r="S14" i="11" s="1"/>
  <c r="V14" i="11" s="1"/>
  <c r="W14" i="11" s="1"/>
  <c r="X14" i="11" s="1"/>
  <c r="I10" i="11"/>
  <c r="I26" i="11"/>
  <c r="J26" i="11" s="1"/>
  <c r="P4" i="11"/>
  <c r="R4" i="11" s="1"/>
  <c r="U4" i="11" s="1"/>
  <c r="F20" i="15"/>
  <c r="I21" i="11"/>
  <c r="J21" i="11" s="1"/>
  <c r="I5" i="11"/>
  <c r="I25" i="11"/>
  <c r="J25" i="11" s="1"/>
  <c r="I9" i="11"/>
  <c r="J13" i="11"/>
  <c r="N13" i="11"/>
  <c r="O13" i="11" s="1"/>
  <c r="I28" i="11"/>
  <c r="J28" i="11" s="1"/>
  <c r="I12" i="11"/>
  <c r="P15" i="11"/>
  <c r="R15" i="11" s="1"/>
  <c r="U15" i="11" s="1"/>
  <c r="Q15" i="11" l="1"/>
  <c r="S15" i="11" s="1"/>
  <c r="V15" i="11" s="1"/>
  <c r="W15" i="11" s="1"/>
  <c r="X15" i="11" s="1"/>
  <c r="Q4" i="11"/>
  <c r="S4" i="11" s="1"/>
  <c r="V4" i="11" s="1"/>
  <c r="W4" i="11" s="1"/>
  <c r="P13" i="11"/>
  <c r="R13" i="11" s="1"/>
  <c r="U13" i="11" s="1"/>
  <c r="J10" i="11"/>
  <c r="N10" i="11"/>
  <c r="O10" i="11" s="1"/>
  <c r="J11" i="11"/>
  <c r="N11" i="11"/>
  <c r="O11" i="11" s="1"/>
  <c r="Q8" i="11"/>
  <c r="S8" i="11" s="1"/>
  <c r="V8" i="11" s="1"/>
  <c r="W8" i="11" s="1"/>
  <c r="X8" i="11" s="1"/>
  <c r="J12" i="11"/>
  <c r="N12" i="11"/>
  <c r="O12" i="11" s="1"/>
  <c r="N9" i="11"/>
  <c r="O9" i="11" s="1"/>
  <c r="J9" i="11"/>
  <c r="N5" i="11"/>
  <c r="O5" i="11" s="1"/>
  <c r="J5" i="11"/>
  <c r="P5" i="11" l="1"/>
  <c r="R5" i="11" s="1"/>
  <c r="U5" i="11" s="1"/>
  <c r="Q5" i="11"/>
  <c r="S5" i="11" s="1"/>
  <c r="V5" i="11" s="1"/>
  <c r="W5" i="11" s="1"/>
  <c r="X5" i="11" s="1"/>
  <c r="P12" i="11"/>
  <c r="R12" i="11" s="1"/>
  <c r="U12" i="11" s="1"/>
  <c r="P9" i="11"/>
  <c r="R9" i="11" s="1"/>
  <c r="U9" i="11" s="1"/>
  <c r="Q9" i="11"/>
  <c r="S9" i="11" s="1"/>
  <c r="V9" i="11" s="1"/>
  <c r="W9" i="11" s="1"/>
  <c r="X9" i="11" s="1"/>
  <c r="P10" i="11"/>
  <c r="R10" i="11" s="1"/>
  <c r="U10" i="11" s="1"/>
  <c r="Q13" i="11"/>
  <c r="S13" i="11" s="1"/>
  <c r="V13" i="11" s="1"/>
  <c r="W13" i="11" s="1"/>
  <c r="X13" i="11" s="1"/>
  <c r="X4" i="11"/>
  <c r="P11" i="11"/>
  <c r="R11" i="11" s="1"/>
  <c r="U11" i="11" s="1"/>
  <c r="Q11" i="11"/>
  <c r="S11" i="11" s="1"/>
  <c r="V11" i="11" s="1"/>
  <c r="W11" i="11" s="1"/>
  <c r="X11" i="11" s="1"/>
  <c r="W10" i="11" l="1"/>
  <c r="X10" i="11" s="1"/>
  <c r="Q10" i="11"/>
  <c r="S10" i="11" s="1"/>
  <c r="V10" i="11" s="1"/>
  <c r="Q12" i="11"/>
  <c r="S12" i="11" s="1"/>
  <c r="V12" i="11" s="1"/>
  <c r="W12" i="11" s="1"/>
  <c r="X12" i="11" s="1"/>
  <c r="W16" i="11" l="1"/>
  <c r="C7" i="1" s="1"/>
  <c r="O7" i="13" l="1"/>
  <c r="K14" i="13" l="1"/>
  <c r="O10" i="13"/>
  <c r="K10" i="13"/>
  <c r="K12" i="13"/>
  <c r="P12" i="13" s="1"/>
  <c r="K11" i="13"/>
  <c r="K7" i="13"/>
  <c r="P7" i="13" l="1"/>
  <c r="E5" i="15"/>
  <c r="F5" i="15" s="1"/>
  <c r="E9" i="15"/>
  <c r="P11" i="13"/>
  <c r="E4" i="15"/>
  <c r="F4" i="15" s="1"/>
  <c r="P10" i="13"/>
  <c r="P14" i="13"/>
  <c r="E11" i="15"/>
  <c r="P18" i="13" l="1"/>
  <c r="C6" i="1" s="1"/>
  <c r="C4" i="1" s="1"/>
  <c r="C13" i="1" l="1"/>
  <c r="C16" i="1" s="1"/>
  <c r="C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Sasai</author>
  </authors>
  <commentList>
    <comment ref="A18" authorId="0" shapeId="0" xr:uid="{BDC59BD5-5180-4717-BD48-033A07BFC842}">
      <text>
        <r>
          <rPr>
            <b/>
            <sz val="9"/>
            <color indexed="81"/>
            <rFont val="Segoe UI"/>
            <family val="2"/>
          </rPr>
          <t>Média do CTG dos meses de ago/2017 a jul/2018</t>
        </r>
      </text>
    </comment>
    <comment ref="A19" authorId="0" shapeId="0" xr:uid="{6C9B7C90-9F00-4A34-BBEF-E87E31682D91}">
      <text>
        <r>
          <rPr>
            <b/>
            <sz val="9"/>
            <color indexed="81"/>
            <rFont val="Segoe UI"/>
            <family val="2"/>
          </rPr>
          <t>Soma das potências das usinas em operação comercial</t>
        </r>
      </text>
    </comment>
    <comment ref="A20" authorId="0" shapeId="0" xr:uid="{902C3DD7-2A33-48FD-862F-575A4571E2A3}">
      <text>
        <r>
          <rPr>
            <b/>
            <sz val="9"/>
            <color indexed="81"/>
            <rFont val="Segoe UI"/>
            <family val="2"/>
          </rPr>
          <t>Soma da potências da usinas participantes do leilão.</t>
        </r>
      </text>
    </comment>
  </commentList>
</comments>
</file>

<file path=xl/sharedStrings.xml><?xml version="1.0" encoding="utf-8"?>
<sst xmlns="http://schemas.openxmlformats.org/spreadsheetml/2006/main" count="1443" uniqueCount="364">
  <si>
    <t>REEMBOLSO MENSAL</t>
  </si>
  <si>
    <t>REEMBOLSO PRELIMINAR</t>
  </si>
  <si>
    <t>REEMBOLSO MENSAL EFETIVO</t>
  </si>
  <si>
    <t>R$</t>
  </si>
  <si>
    <t>CEG</t>
  </si>
  <si>
    <t>PIS / COFINS
ANP
(R$)</t>
  </si>
  <si>
    <t>ICMS
ANP
(R$)</t>
  </si>
  <si>
    <t>O&amp;M 
(R$)</t>
  </si>
  <si>
    <t>PIS/COFINS
(R$)</t>
  </si>
  <si>
    <t>GERAÇÃO MENSAL TOTAL</t>
  </si>
  <si>
    <t>MWH</t>
  </si>
  <si>
    <t>COMPENSAÇÃO</t>
  </si>
  <si>
    <t>ACRméd</t>
  </si>
  <si>
    <t>R$/MWh</t>
  </si>
  <si>
    <t>FATOR DE CORTE</t>
  </si>
  <si>
    <t xml:space="preserve"> - </t>
  </si>
  <si>
    <t>CUSTO TOTAL DA GERAÇÃO</t>
  </si>
  <si>
    <t>RORAIMA ENERGIA</t>
  </si>
  <si>
    <t>UTE.PE.RR.001606-3.01</t>
  </si>
  <si>
    <t>COM .IND OLHO DÁGUA</t>
  </si>
  <si>
    <t>UTE.PE.RR.001406-0.01</t>
  </si>
  <si>
    <t>COM .IND. MARACANÃ</t>
  </si>
  <si>
    <t>UTE.PE.RR.034261-0.01</t>
  </si>
  <si>
    <t>COM .IND. MONTE MURIÁ II</t>
  </si>
  <si>
    <t>UTE.PE.RR.000038-8.01</t>
  </si>
  <si>
    <t>COM. IND. ÁGUA FRIA</t>
  </si>
  <si>
    <t>UTE.PE.RR.028323-1.01</t>
  </si>
  <si>
    <t>COM. IND. ARAÇA</t>
  </si>
  <si>
    <t>UTE.PE.RR.001368-4.01</t>
  </si>
  <si>
    <t>COM. IND. BOCA DA MATA</t>
  </si>
  <si>
    <t>UTE.PE.RR.034172-0.01</t>
  </si>
  <si>
    <t>COM. IND. CAJU</t>
  </si>
  <si>
    <t>UTE.PE.RR.034092-8.01</t>
  </si>
  <si>
    <t>COM. IND. CANAVIAL</t>
  </si>
  <si>
    <t>UTE.PE.RR.034267-0.01</t>
  </si>
  <si>
    <t>COM. IND. CARAPARÚ III</t>
  </si>
  <si>
    <t>UTE.PE.RR.038189-6.01</t>
  </si>
  <si>
    <t>Com. ind. Coqueirinho</t>
  </si>
  <si>
    <t>UTE.PE.RR.034252-1.01</t>
  </si>
  <si>
    <t>COM. IND. DARORA</t>
  </si>
  <si>
    <t>UTE.PE.RR.034259-9.01</t>
  </si>
  <si>
    <t>COM. IND. ENSEADA</t>
  </si>
  <si>
    <t>UTE.PE.RR.034134-7.01</t>
  </si>
  <si>
    <t>COM. IND. ENTRONCAMENTO</t>
  </si>
  <si>
    <t>UTE.PE.RR.037885-2.01</t>
  </si>
  <si>
    <t>Com. Ind. Feliz Encontro</t>
  </si>
  <si>
    <t>UTE.PE.RR.001373-0.01</t>
  </si>
  <si>
    <t>COM. IND. FLEXAL</t>
  </si>
  <si>
    <t>UTE.PE.RR.033098-1.01</t>
  </si>
  <si>
    <t>COM. IND. GAVIÃO</t>
  </si>
  <si>
    <t>UTE.PE.RR.001374-9.01</t>
  </si>
  <si>
    <t>COM. IND. GUARIBA</t>
  </si>
  <si>
    <t>UTE.PE.RR.034265-3.01</t>
  </si>
  <si>
    <t>COM. IND. INGARUMÃ</t>
  </si>
  <si>
    <t>UTE.PE.RR.034263-7.01</t>
  </si>
  <si>
    <t>COM. IND. MATURUCA</t>
  </si>
  <si>
    <t>UTE.PE.RR.003020-1.01</t>
  </si>
  <si>
    <t>COM. IND. MILAGRE</t>
  </si>
  <si>
    <t>UTE.PE.RR.034262-9.01</t>
  </si>
  <si>
    <t>COM. IND. MONTE MURIÁ I</t>
  </si>
  <si>
    <t>UTE.PE.RR.001522-9.01</t>
  </si>
  <si>
    <t>COM. IND. MUTUM</t>
  </si>
  <si>
    <t>UTE.PE.RR.001525-3.01</t>
  </si>
  <si>
    <t>COM. IND. NAPOLEÃO</t>
  </si>
  <si>
    <t>UTE.PE.RR.034257-2.01</t>
  </si>
  <si>
    <t>COM. IND. PEDRA BRANCA</t>
  </si>
  <si>
    <t>UTE.PE.RR.034133-9.01</t>
  </si>
  <si>
    <t>COM. IND. PERDIZ</t>
  </si>
  <si>
    <t>UTE.PE.RR.034256-4.01</t>
  </si>
  <si>
    <t>COM. IND. SABIÁ</t>
  </si>
  <si>
    <t>UTE.PE.RR.034258-0.01</t>
  </si>
  <si>
    <t>COM. IND. SANTA CREUZA</t>
  </si>
  <si>
    <t>UTE.PE.RR.001380-3.01</t>
  </si>
  <si>
    <t>COM. IND. SANTA ROSA</t>
  </si>
  <si>
    <t>UTE.PE.RR.001381-1.01</t>
  </si>
  <si>
    <t>COM. IND. SÃO MARCOS</t>
  </si>
  <si>
    <t>UTE.PE.RR.002759-6.01</t>
  </si>
  <si>
    <t>COM. IND. SOCÓ</t>
  </si>
  <si>
    <t>UTE.PE.RR.034268-8.01</t>
  </si>
  <si>
    <t>COM. IND. SOROCAIMA</t>
  </si>
  <si>
    <t>UTE.PE.RR.033044-2.01</t>
  </si>
  <si>
    <t>COM. IND. SOROCAIMA II</t>
  </si>
  <si>
    <t>UTE.PE.RR.002786-3.01</t>
  </si>
  <si>
    <t>COM. IND. SURUMÚ</t>
  </si>
  <si>
    <t>UTE.PE.RR.000961-0.01</t>
  </si>
  <si>
    <t>FLORESTA</t>
  </si>
  <si>
    <t>UTE.PE.RR.031984-8.01</t>
  </si>
  <si>
    <t>NOVO PARAISO</t>
  </si>
  <si>
    <t>UTE.PE.RR.027140-3.01</t>
  </si>
  <si>
    <t>UIRAMUTÃ</t>
  </si>
  <si>
    <t>UTE.PE.RR.031983-0.01</t>
  </si>
  <si>
    <t>UTE DISTRITO</t>
  </si>
  <si>
    <t>UTE.PE.RR.031982-1.01</t>
  </si>
  <si>
    <t>UTE MONTE CRISTO</t>
  </si>
  <si>
    <t>UTE.PE.RR.034264-5.01</t>
  </si>
  <si>
    <t>VILA BELA VISTA (BX RIO BRANCO)</t>
  </si>
  <si>
    <t>UTE.PE.RR.002992-0.01</t>
  </si>
  <si>
    <t>VILA BRASIL</t>
  </si>
  <si>
    <t>UTE.PE.RR.002993-9.01</t>
  </si>
  <si>
    <t>VILA CACHOEIRINHA</t>
  </si>
  <si>
    <t>UTE.PE.RR.034142-8.01</t>
  </si>
  <si>
    <t>VILA CAICUBI</t>
  </si>
  <si>
    <t>UTE.PE.RR.003012-0.01</t>
  </si>
  <si>
    <t>VILA DONA COTA</t>
  </si>
  <si>
    <t>UTE.PE.RR.003014-7.01</t>
  </si>
  <si>
    <t>VILA FLORESTA</t>
  </si>
  <si>
    <t>UTE.PE.RR.027142-0.01</t>
  </si>
  <si>
    <t>VILA ITAQUERA</t>
  </si>
  <si>
    <t>UTE.PE.RR.001948-8.01</t>
  </si>
  <si>
    <t>VILA PANACARICA</t>
  </si>
  <si>
    <t>UTE.PE.RR.027143-8.01</t>
  </si>
  <si>
    <t>VILA REMANSO</t>
  </si>
  <si>
    <t>UTE.PE.AM.026817-8.02</t>
  </si>
  <si>
    <t>VILA S. F. DO BAIXO RIO BRANCO</t>
  </si>
  <si>
    <t>UTE.PE.RR.002564-0.01</t>
  </si>
  <si>
    <t>VILA SACAÍ</t>
  </si>
  <si>
    <t>UTE.PE.RR.002685-9.01</t>
  </si>
  <si>
    <t>VILA SAMAÚMA</t>
  </si>
  <si>
    <t>UTE.PE.RR.026723-6.01</t>
  </si>
  <si>
    <t>VILA SANTA MARIA DO BOIAÇÚ</t>
  </si>
  <si>
    <t>UTE.PE.RR.026724-4.01</t>
  </si>
  <si>
    <t>VILA SANTA MARIA DO XERUINI</t>
  </si>
  <si>
    <t>UTE.PE.RR.034175-4.01</t>
  </si>
  <si>
    <t>VILA SANTA MARIA VELHA</t>
  </si>
  <si>
    <t>UTE.PE.AM.034093-6.01</t>
  </si>
  <si>
    <t>VILA SÃO PEDRO</t>
  </si>
  <si>
    <t>UTE.PE.RR.034174-6.01</t>
  </si>
  <si>
    <t>VILA TANAAÚ</t>
  </si>
  <si>
    <t>UTE.PE.RR.002834-7.01</t>
  </si>
  <si>
    <t>VILA TEPEQUEM</t>
  </si>
  <si>
    <t>UTE.PE.RR.002839-8.01</t>
  </si>
  <si>
    <t>VILA TERRA PRETA</t>
  </si>
  <si>
    <t>UTE.PE.RR.034132-0.01</t>
  </si>
  <si>
    <t>VILA XIXUAÚ</t>
  </si>
  <si>
    <t>NORMANDIA</t>
  </si>
  <si>
    <t>RORAIMA</t>
  </si>
  <si>
    <t>UIRAMUTA</t>
  </si>
  <si>
    <t>PACARAIMA</t>
  </si>
  <si>
    <t>BOA VISTA</t>
  </si>
  <si>
    <t>CARACARAI</t>
  </si>
  <si>
    <t>RORAINOPOLIS</t>
  </si>
  <si>
    <t>AMAJARI</t>
  </si>
  <si>
    <t>S</t>
  </si>
  <si>
    <t>N</t>
  </si>
  <si>
    <t>UTE.PE.RR.003060-0.01</t>
  </si>
  <si>
    <t>COM. IND. XUMINA</t>
  </si>
  <si>
    <t>UTE.PE.RR.034266-1.01</t>
  </si>
  <si>
    <t>COM. IND. BANANAL</t>
  </si>
  <si>
    <t>UTE.PE.RR.034141-0.01</t>
  </si>
  <si>
    <t>VILA LAGO GRANDE</t>
  </si>
  <si>
    <t>UTE.PE.RR.034171-1.01</t>
  </si>
  <si>
    <t>COM. IND. TICOÇA</t>
  </si>
  <si>
    <t>UTE.PE.RR.031982-1.01A</t>
  </si>
  <si>
    <t>UTE.PE.RR.034251-3.01</t>
  </si>
  <si>
    <t>COM. IND.MARUWAI</t>
  </si>
  <si>
    <t>UTE.PE.RR.034247-5.01</t>
  </si>
  <si>
    <t>COM. IND. PATATIVA</t>
  </si>
  <si>
    <t>UTE.PE.RR.046697-2.01</t>
  </si>
  <si>
    <t>UTE NOVA PACARAIMA</t>
  </si>
  <si>
    <t>UTE.PE.RR.034250-5.01</t>
  </si>
  <si>
    <t>COM. IND. CARAPARÚ IV</t>
  </si>
  <si>
    <t>UTE.PE.RR.034139-8.01</t>
  </si>
  <si>
    <t>COM. IND. CATUAL</t>
  </si>
  <si>
    <t>UTE.PE.RR.034191-6.01</t>
  </si>
  <si>
    <t>COM. IND. COBRA</t>
  </si>
  <si>
    <t>UTE.PE.RR.034138-0.01</t>
  </si>
  <si>
    <t>COM. IND. JATAPUZINHO</t>
  </si>
  <si>
    <t>UTE.PE.RR.034248-3.01</t>
  </si>
  <si>
    <t>COM. IND. MARACÁ</t>
  </si>
  <si>
    <t>UTE.PE.RR.033043-4.01</t>
  </si>
  <si>
    <t>COM. IND. NOVA ALIANÇA</t>
  </si>
  <si>
    <t>UTE.PE.RR.034246-7.01</t>
  </si>
  <si>
    <t>COM. IND. PACÚ</t>
  </si>
  <si>
    <t>UTE.PE.RR.034140-1.01</t>
  </si>
  <si>
    <t>COM. IND. SOMA</t>
  </si>
  <si>
    <t>UTE.PE.RR.034173-8.01</t>
  </si>
  <si>
    <t>COM. IND. way way samaúma</t>
  </si>
  <si>
    <t>PCH.PH.RR.000076-0.01</t>
  </si>
  <si>
    <t>ALTO JATAPÚ</t>
  </si>
  <si>
    <t>CTGref - DSP 3413/2021</t>
  </si>
  <si>
    <t>MW</t>
  </si>
  <si>
    <t>CTGfc - DSP 3413/2021</t>
  </si>
  <si>
    <r>
      <t>U</t>
    </r>
    <r>
      <rPr>
        <b/>
        <vertAlign val="subscript"/>
        <sz val="11"/>
        <color theme="0"/>
        <rFont val="Inter"/>
        <family val="2"/>
        <scheme val="minor"/>
      </rPr>
      <t>operação comercial</t>
    </r>
  </si>
  <si>
    <r>
      <t>U</t>
    </r>
    <r>
      <rPr>
        <b/>
        <vertAlign val="subscript"/>
        <sz val="11"/>
        <color theme="0"/>
        <rFont val="Inter"/>
        <family val="2"/>
        <scheme val="minor"/>
      </rPr>
      <t>total</t>
    </r>
  </si>
  <si>
    <t>PIE</t>
  </si>
  <si>
    <t>Oliveira Energia</t>
  </si>
  <si>
    <t>UTE.PE.RR.044653-0.01</t>
  </si>
  <si>
    <t>Monte Cristo Sucuba</t>
  </si>
  <si>
    <t>Azulão Geração de Energia</t>
  </si>
  <si>
    <t>UTE.GN.RR.044619-0.01</t>
  </si>
  <si>
    <t>Jaguatirica II</t>
  </si>
  <si>
    <t>Brasil Bio Fuels</t>
  </si>
  <si>
    <t>UTE.AI.RR.044586-0.01</t>
  </si>
  <si>
    <t>BBF Baliza</t>
  </si>
  <si>
    <t>UTE.BL.RR.044589-4.01</t>
  </si>
  <si>
    <t>Híbrido Forte de São Joaquim</t>
  </si>
  <si>
    <t>Palmaplan Energia</t>
  </si>
  <si>
    <t>UTE.BL.RR.044588-6.01</t>
  </si>
  <si>
    <t>Palmaplan Energia 2</t>
  </si>
  <si>
    <t>Bomfim Geração</t>
  </si>
  <si>
    <t>UTE.FL.RR.044603-3.01</t>
  </si>
  <si>
    <t>Bonfim</t>
  </si>
  <si>
    <t>Cantá Geração</t>
  </si>
  <si>
    <t>UTE.FL.RR.044604-1.01</t>
  </si>
  <si>
    <t>Cantá</t>
  </si>
  <si>
    <t>Pau Rainha Geração</t>
  </si>
  <si>
    <t>UTE.FL.RR.044605-0.01</t>
  </si>
  <si>
    <t>Pau Rainha</t>
  </si>
  <si>
    <t>Santa Luz Geração</t>
  </si>
  <si>
    <t>UTE.FL.RR.044606-8.01</t>
  </si>
  <si>
    <t>Santa Luz</t>
  </si>
  <si>
    <t>ICMS NF (R$/L)</t>
  </si>
  <si>
    <t>PIS / COFINS (R$/L)</t>
  </si>
  <si>
    <t>Valor Considerado CCESI (R$)</t>
  </si>
  <si>
    <t>Óleo Diesel/Biodiesel</t>
  </si>
  <si>
    <t>PCH</t>
  </si>
  <si>
    <t>beneficiário</t>
  </si>
  <si>
    <t>usina</t>
  </si>
  <si>
    <t>localidade</t>
  </si>
  <si>
    <t>localidade ANP</t>
  </si>
  <si>
    <t>combustível</t>
  </si>
  <si>
    <t>combustível Eficiente
(L)</t>
  </si>
  <si>
    <t xml:space="preserve">preço
ANP
(R$) </t>
  </si>
  <si>
    <t>preço ANP sem Impostos
(R$)</t>
  </si>
  <si>
    <t>total
Combustível NFs
(L)</t>
  </si>
  <si>
    <t>total NF (R$)</t>
  </si>
  <si>
    <t>preço NF sem Impostos (R$/L)</t>
  </si>
  <si>
    <t>total PIS/Cofins NF (R$)</t>
  </si>
  <si>
    <t>total
ICMS NF
(R$)</t>
  </si>
  <si>
    <t>total NF sem Impostos (R$)</t>
  </si>
  <si>
    <t>liminar</t>
  </si>
  <si>
    <t>preço
unitário
(R$)</t>
  </si>
  <si>
    <t>custo 
OD liquido
(R$)</t>
  </si>
  <si>
    <t>% ICMS não recuperado</t>
  </si>
  <si>
    <t>% PIS / COFINS não recuperado</t>
  </si>
  <si>
    <t>custo ICMS
(R$)</t>
  </si>
  <si>
    <t>custo PIS / COFINS
(R$)</t>
  </si>
  <si>
    <t>custo
tributo
(R$)</t>
  </si>
  <si>
    <t>custo
total OD
(R$)</t>
  </si>
  <si>
    <t>competência:</t>
  </si>
  <si>
    <t>reembolso mensal CCC - RORAIMA</t>
  </si>
  <si>
    <t>1 - combustível</t>
  </si>
  <si>
    <t>2 - geração Própria</t>
  </si>
  <si>
    <t>3 - contrato</t>
  </si>
  <si>
    <t>4 - frete</t>
  </si>
  <si>
    <t>combustível
Eficiente
(L)</t>
  </si>
  <si>
    <t>quantidade
litros
transportado</t>
  </si>
  <si>
    <t>total
NF
(R$)</t>
  </si>
  <si>
    <t>valor  unitário
nota fiscal
(R$/l)</t>
  </si>
  <si>
    <t>preço unitário (R$/l)</t>
  </si>
  <si>
    <t>custo total (R$)</t>
  </si>
  <si>
    <t>potência homologada 
(kW)</t>
  </si>
  <si>
    <t>geração 
(MWh)</t>
  </si>
  <si>
    <t>locação (S/N)</t>
  </si>
  <si>
    <t>O&amp;M total 
(R$)</t>
  </si>
  <si>
    <t>NF locação líquida  + imp. não recuperado (O&amp;M)</t>
  </si>
  <si>
    <t xml:space="preserve"> anexo IV x contrato</t>
  </si>
  <si>
    <t>receita fixa
(R$)</t>
  </si>
  <si>
    <t>receita fixa EP
total 
(R$)</t>
  </si>
  <si>
    <t>NF locação 
líquida
(R$)</t>
  </si>
  <si>
    <t>anexo III
x
 contrato
(R$)</t>
  </si>
  <si>
    <t>custo total 
(R$)</t>
  </si>
  <si>
    <t>equipamento locação</t>
  </si>
  <si>
    <t>receita fixa (VGP)
(R$)</t>
  </si>
  <si>
    <t>potência
contratada
(MW)</t>
  </si>
  <si>
    <t>valor de receita variável CCESI (R$)</t>
  </si>
  <si>
    <t>valor de receita fixa mensal CCESI (R$)</t>
  </si>
  <si>
    <t>valor de receita de venda CCESI (R$)</t>
  </si>
  <si>
    <t>valor unitário contrato (R$/MWh)</t>
  </si>
  <si>
    <t>valor NF bruto (R$)</t>
  </si>
  <si>
    <t>valor unitário NF (R$/MWh)</t>
  </si>
  <si>
    <t>penalidade NF (R$)</t>
  </si>
  <si>
    <t>valor unitário bruto considerado (R$/MWh)</t>
  </si>
  <si>
    <t>valor unitário PIS/COFINS (R$/MWh)</t>
  </si>
  <si>
    <t>valor unitário líquido considerado (R$/MWh)</t>
  </si>
  <si>
    <t>custo total PIS/COFINS (R$)</t>
  </si>
  <si>
    <t>custo líquido CCESI (R$)</t>
  </si>
  <si>
    <t>% não recuperado de
PIS/COFINS</t>
  </si>
  <si>
    <t>custo PIS/COFINS
(R$)</t>
  </si>
  <si>
    <t>custo total
(R$)</t>
  </si>
  <si>
    <t>custo total liquido
(R$)</t>
  </si>
  <si>
    <t>ajuste competência anterior</t>
  </si>
  <si>
    <t>UTE.PE.RR.051456-0.01</t>
  </si>
  <si>
    <t>UTX Pacaraima</t>
  </si>
  <si>
    <t>UTE.PE.RR.051424-1.01</t>
  </si>
  <si>
    <t>UTX Amajari</t>
  </si>
  <si>
    <t>Usina Xavantes</t>
  </si>
  <si>
    <t>valor de receita variável(R$)</t>
  </si>
  <si>
    <t>CVU  - RORAIMA</t>
  </si>
  <si>
    <t>UTE.PE.RR.051464-0.01</t>
  </si>
  <si>
    <t>UTX Uiramutã</t>
  </si>
  <si>
    <t>CVU Calculado</t>
  </si>
  <si>
    <t>UTE.PE.RR.030638-0.01</t>
  </si>
  <si>
    <t>UTE DISTRITO I (Oliveira)</t>
  </si>
  <si>
    <t>UTE DISTRITO II</t>
  </si>
  <si>
    <t>modelo</t>
  </si>
  <si>
    <t>potência por unidade (MW)</t>
  </si>
  <si>
    <t>n° de sistemas</t>
  </si>
  <si>
    <t>potência (disponib.) [MWh]/mês</t>
  </si>
  <si>
    <t>custo de O&amp;M atualizado (R$/MWh)</t>
  </si>
  <si>
    <t>custo O&amp;M unitário [R$/MW.h]</t>
  </si>
  <si>
    <t>custo total O&amp;M [R$]</t>
  </si>
  <si>
    <t>SIGFI 80</t>
  </si>
  <si>
    <t>SIGFI 160</t>
  </si>
  <si>
    <t>REEMBOLSO PRELIMINAR BBF DESPACHO N°916/2024</t>
  </si>
  <si>
    <t>UFVRR9450001255</t>
  </si>
  <si>
    <t>UFVRR9450001256</t>
  </si>
  <si>
    <t>UFVRR9450001253</t>
  </si>
  <si>
    <t>UFVRR9450001254</t>
  </si>
  <si>
    <t>UFVRR9450001257</t>
  </si>
  <si>
    <t>UFVRR9450001258</t>
  </si>
  <si>
    <t>UFVRR9450001259</t>
  </si>
  <si>
    <t>UFVRR9450001250</t>
  </si>
  <si>
    <t>UFVRR9450001251</t>
  </si>
  <si>
    <t>UFVRR9450001252</t>
  </si>
  <si>
    <t xml:space="preserve"> UFV LAGO GRANDE USINA 1</t>
  </si>
  <si>
    <t xml:space="preserve"> UFV LAGO GRANDE USINA 2</t>
  </si>
  <si>
    <t xml:space="preserve"> UFV REMANSO USINA 1</t>
  </si>
  <si>
    <t xml:space="preserve"> UFV REMANSO USINA 2</t>
  </si>
  <si>
    <t xml:space="preserve"> UFV TERRA PRETA USINA 1</t>
  </si>
  <si>
    <t xml:space="preserve"> UFV TERRA PRETA USINA 2</t>
  </si>
  <si>
    <t xml:space="preserve"> UFV TERRA PRETA USINA 3</t>
  </si>
  <si>
    <t xml:space="preserve"> UFV VILA ITAQUERA USINA 1</t>
  </si>
  <si>
    <t xml:space="preserve"> UFV VILA ITAQUERA USINA 2</t>
  </si>
  <si>
    <t xml:space="preserve"> UFV VILA XIXUAÚ USINA 1</t>
  </si>
  <si>
    <t>UFVRR9450003301</t>
  </si>
  <si>
    <t>UFVRR9450003302</t>
  </si>
  <si>
    <t>VILA SANTA MARIA DO XERUINI P01</t>
  </si>
  <si>
    <t>VILA SANTA MARIA DO XERUINI P02</t>
  </si>
  <si>
    <t>UTE MONTE CRISTO BLOCO 2</t>
  </si>
  <si>
    <t>CACHOEIRINHA P01</t>
  </si>
  <si>
    <t>CACHOEIRINHA P02</t>
  </si>
  <si>
    <t>CACHOEIRINHA P03</t>
  </si>
  <si>
    <t>CACHOEIRINHA P04</t>
  </si>
  <si>
    <t>UFVRR9450005649</t>
  </si>
  <si>
    <t>UFVRR9450005650</t>
  </si>
  <si>
    <t>UFVRR9450005651</t>
  </si>
  <si>
    <t>UFVRR9450005652</t>
  </si>
  <si>
    <t>Empresa comercializadora</t>
  </si>
  <si>
    <t>BOLT</t>
  </si>
  <si>
    <t>Importação</t>
  </si>
  <si>
    <t>Venezuela</t>
  </si>
  <si>
    <t>Geração (MWh)</t>
  </si>
  <si>
    <t>CACHOEIRINHA P05</t>
  </si>
  <si>
    <t>UFVRR9450005654</t>
  </si>
  <si>
    <t>UFVRR9450007910</t>
  </si>
  <si>
    <t>SANTA MARIA VELHA P0</t>
  </si>
  <si>
    <t>UFVRR9450016619</t>
  </si>
  <si>
    <t>UFVRR9450016620</t>
  </si>
  <si>
    <t>UFVRR9450016621</t>
  </si>
  <si>
    <t>UFVRR9450016622</t>
  </si>
  <si>
    <t>UFVRR9450016623</t>
  </si>
  <si>
    <t>SACAÍ P01</t>
  </si>
  <si>
    <t>SACAÍ P02</t>
  </si>
  <si>
    <t>SACAÍ P03</t>
  </si>
  <si>
    <t>SACAÍ P04</t>
  </si>
  <si>
    <t>SACAÍ P05</t>
  </si>
  <si>
    <t>SIGFI 180</t>
  </si>
  <si>
    <t>RORAIMA ENERGIA S.A</t>
  </si>
  <si>
    <t>IPCA base (09/2025)</t>
  </si>
  <si>
    <t xml:space="preserve">IPCA atualizado </t>
  </si>
  <si>
    <t>Custo anual de manutenção (CAM)</t>
  </si>
  <si>
    <t>IPCA 09/2025</t>
  </si>
  <si>
    <t>CAT (Custo Anual Total de Substituições de Equipamentos)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</si>
</sst>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\ h:mm;@"/>
    <numFmt numFmtId="165" formatCode="mmmm/yyyy"/>
    <numFmt numFmtId="166" formatCode="_-* #,##0_-;\-* #,##0_-;_-* &quot;-&quot;??_-;_-@_-"/>
    <numFmt numFmtId="167" formatCode="#,##0.00000000"/>
    <numFmt numFmtId="168" formatCode="0.000"/>
    <numFmt numFmtId="169" formatCode="_-* #,##0.0_-;\-* #,##0.0_-;_-* &quot;-&quot;??_-;_-@_-"/>
    <numFmt numFmtId="170" formatCode="#,##0.000"/>
  </numFmts>
  <fonts count="25">
    <font>
      <sz val="11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b/>
      <sz val="11"/>
      <color theme="0"/>
      <name val="Inter"/>
      <family val="2"/>
      <scheme val="minor"/>
    </font>
    <font>
      <b/>
      <i/>
      <sz val="12"/>
      <color rgb="FF002060"/>
      <name val="Inter"/>
      <family val="2"/>
      <scheme val="minor"/>
    </font>
    <font>
      <b/>
      <i/>
      <sz val="12"/>
      <name val="Inter"/>
      <family val="2"/>
      <scheme val="minor"/>
    </font>
    <font>
      <b/>
      <i/>
      <sz val="12"/>
      <color theme="1"/>
      <name val="Inter"/>
      <family val="2"/>
      <scheme val="minor"/>
    </font>
    <font>
      <b/>
      <u val="double"/>
      <sz val="11"/>
      <color rgb="FF002060"/>
      <name val="Inter"/>
      <family val="2"/>
      <scheme val="minor"/>
    </font>
    <font>
      <u val="double"/>
      <sz val="11"/>
      <color rgb="FF002060"/>
      <name val="Inter"/>
      <family val="2"/>
      <scheme val="minor"/>
    </font>
    <font>
      <b/>
      <sz val="9"/>
      <color indexed="81"/>
      <name val="Segoe UI"/>
      <family val="2"/>
    </font>
    <font>
      <b/>
      <vertAlign val="subscript"/>
      <sz val="11"/>
      <color theme="0"/>
      <name val="Inter"/>
      <family val="2"/>
      <scheme val="minor"/>
    </font>
    <font>
      <b/>
      <sz val="11"/>
      <color rgb="FFFF0000"/>
      <name val="Inter"/>
      <family val="2"/>
      <scheme val="minor"/>
    </font>
    <font>
      <b/>
      <sz val="11"/>
      <color theme="3"/>
      <name val="Inter"/>
      <family val="2"/>
      <scheme val="minor"/>
    </font>
    <font>
      <b/>
      <i/>
      <sz val="22"/>
      <color theme="4"/>
      <name val="Inter"/>
      <family val="2"/>
      <scheme val="minor"/>
    </font>
    <font>
      <b/>
      <i/>
      <sz val="12"/>
      <color theme="4"/>
      <name val="Inter"/>
      <family val="2"/>
      <scheme val="minor"/>
    </font>
    <font>
      <b/>
      <sz val="11"/>
      <color theme="3"/>
      <name val="Inter"/>
      <family val="3"/>
      <scheme val="minor"/>
    </font>
    <font>
      <b/>
      <u val="double"/>
      <sz val="11"/>
      <color theme="3"/>
      <name val="Inter"/>
      <family val="2"/>
      <scheme val="minor"/>
    </font>
    <font>
      <b/>
      <sz val="11"/>
      <color theme="1"/>
      <name val="Inter"/>
      <family val="2"/>
      <scheme val="minor"/>
    </font>
    <font>
      <b/>
      <u val="double"/>
      <sz val="11"/>
      <color theme="4"/>
      <name val="Inter"/>
      <family val="2"/>
      <scheme val="minor"/>
    </font>
    <font>
      <b/>
      <sz val="11"/>
      <color theme="4"/>
      <name val="Inter"/>
      <family val="2"/>
      <scheme val="minor"/>
    </font>
    <font>
      <u val="double"/>
      <sz val="11"/>
      <color theme="4"/>
      <name val="Inter"/>
      <family val="2"/>
      <scheme val="minor"/>
    </font>
    <font>
      <b/>
      <u val="double"/>
      <sz val="12"/>
      <color theme="4"/>
      <name val="Inter"/>
      <family val="2"/>
      <scheme val="minor"/>
    </font>
    <font>
      <sz val="11"/>
      <color theme="4"/>
      <name val="Inter"/>
      <family val="2"/>
      <scheme val="minor"/>
    </font>
    <font>
      <sz val="11"/>
      <color rgb="FFFF0000"/>
      <name val="Inter"/>
      <family val="2"/>
      <scheme val="minor"/>
    </font>
    <font>
      <sz val="11"/>
      <name val="Inter"/>
      <scheme val="minor"/>
    </font>
    <font>
      <sz val="8"/>
      <name val="Inter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FFC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5" fontId="5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center"/>
    </xf>
    <xf numFmtId="43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9" fontId="7" fillId="0" borderId="0" xfId="0" applyNumberFormat="1" applyFont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4" applyFont="1" applyBorder="1"/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43" fontId="14" fillId="2" borderId="5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3" fontId="0" fillId="0" borderId="5" xfId="0" applyNumberFormat="1" applyBorder="1" applyAlignment="1">
      <alignment horizontal="right" vertical="center"/>
    </xf>
    <xf numFmtId="43" fontId="14" fillId="2" borderId="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3" fontId="0" fillId="0" borderId="5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vertical="center"/>
    </xf>
    <xf numFmtId="4" fontId="15" fillId="0" borderId="0" xfId="0" applyNumberFormat="1" applyFont="1" applyAlignment="1">
      <alignment vertical="center"/>
    </xf>
    <xf numFmtId="43" fontId="17" fillId="0" borderId="0" xfId="0" applyNumberFormat="1" applyFont="1"/>
    <xf numFmtId="166" fontId="17" fillId="0" borderId="0" xfId="0" applyNumberFormat="1" applyFont="1"/>
    <xf numFmtId="0" fontId="1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3" fontId="19" fillId="0" borderId="0" xfId="0" applyNumberFormat="1" applyFont="1" applyAlignment="1">
      <alignment vertical="center"/>
    </xf>
    <xf numFmtId="3" fontId="20" fillId="0" borderId="0" xfId="1" applyNumberFormat="1" applyFont="1" applyAlignment="1">
      <alignment vertical="center"/>
    </xf>
    <xf numFmtId="9" fontId="19" fillId="0" borderId="0" xfId="1" applyFont="1" applyAlignment="1">
      <alignment vertical="center"/>
    </xf>
    <xf numFmtId="43" fontId="17" fillId="0" borderId="0" xfId="4" applyFont="1" applyAlignment="1">
      <alignment vertical="center"/>
    </xf>
    <xf numFmtId="4" fontId="0" fillId="0" borderId="5" xfId="0" applyNumberFormat="1" applyBorder="1" applyAlignment="1">
      <alignment horizontal="right" vertical="center"/>
    </xf>
    <xf numFmtId="9" fontId="0" fillId="0" borderId="5" xfId="1" applyFont="1" applyBorder="1" applyAlignment="1">
      <alignment horizontal="right" vertical="center"/>
    </xf>
    <xf numFmtId="0" fontId="18" fillId="3" borderId="5" xfId="0" applyFont="1" applyFill="1" applyBorder="1" applyAlignment="1">
      <alignment horizontal="center" vertical="center" wrapText="1"/>
    </xf>
    <xf numFmtId="166" fontId="0" fillId="0" borderId="5" xfId="4" applyNumberFormat="1" applyFont="1" applyBorder="1" applyAlignment="1">
      <alignment vertical="center"/>
    </xf>
    <xf numFmtId="43" fontId="0" fillId="0" borderId="5" xfId="4" applyFont="1" applyBorder="1" applyAlignment="1">
      <alignment vertical="center"/>
    </xf>
    <xf numFmtId="43" fontId="0" fillId="0" borderId="5" xfId="0" applyNumberFormat="1" applyBorder="1" applyAlignment="1">
      <alignment vertical="center"/>
    </xf>
    <xf numFmtId="43" fontId="16" fillId="0" borderId="5" xfId="0" applyNumberFormat="1" applyFont="1" applyBorder="1" applyAlignment="1">
      <alignment vertical="center"/>
    </xf>
    <xf numFmtId="3" fontId="0" fillId="0" borderId="5" xfId="0" applyNumberFormat="1" applyBorder="1" applyAlignment="1">
      <alignment horizontal="right" vertical="center"/>
    </xf>
    <xf numFmtId="167" fontId="0" fillId="0" borderId="5" xfId="0" applyNumberFormat="1" applyBorder="1" applyAlignment="1">
      <alignment vertical="center"/>
    </xf>
    <xf numFmtId="43" fontId="18" fillId="3" borderId="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3" fontId="17" fillId="0" borderId="0" xfId="0" applyNumberFormat="1" applyFont="1"/>
    <xf numFmtId="0" fontId="21" fillId="0" borderId="0" xfId="0" applyFont="1"/>
    <xf numFmtId="4" fontId="18" fillId="0" borderId="0" xfId="1" applyNumberFormat="1" applyFont="1" applyAlignment="1">
      <alignment vertical="center"/>
    </xf>
    <xf numFmtId="4" fontId="17" fillId="0" borderId="0" xfId="1" applyNumberFormat="1" applyFont="1" applyAlignment="1">
      <alignment vertical="center"/>
    </xf>
    <xf numFmtId="0" fontId="22" fillId="4" borderId="0" xfId="0" applyFont="1" applyFill="1"/>
    <xf numFmtId="43" fontId="0" fillId="0" borderId="0" xfId="4" applyFont="1"/>
    <xf numFmtId="4" fontId="0" fillId="0" borderId="0" xfId="0" applyNumberFormat="1"/>
    <xf numFmtId="0" fontId="18" fillId="2" borderId="5" xfId="0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vertical="center"/>
    </xf>
    <xf numFmtId="10" fontId="21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0" fillId="0" borderId="5" xfId="0" applyBorder="1" applyAlignment="1">
      <alignment horizontal="left" vertical="center"/>
    </xf>
    <xf numFmtId="168" fontId="0" fillId="0" borderId="5" xfId="0" applyNumberFormat="1" applyBorder="1" applyAlignment="1">
      <alignment horizontal="center" vertical="center"/>
    </xf>
    <xf numFmtId="166" fontId="0" fillId="0" borderId="5" xfId="4" applyNumberFormat="1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21" fillId="0" borderId="0" xfId="0" applyNumberFormat="1" applyFont="1"/>
    <xf numFmtId="0" fontId="23" fillId="0" borderId="5" xfId="0" applyFont="1" applyBorder="1" applyAlignment="1">
      <alignment horizontal="center" vertical="center" wrapText="1"/>
    </xf>
    <xf numFmtId="168" fontId="23" fillId="0" borderId="5" xfId="0" applyNumberFormat="1" applyFont="1" applyBorder="1" applyAlignment="1">
      <alignment horizontal="center" vertical="center"/>
    </xf>
    <xf numFmtId="170" fontId="0" fillId="0" borderId="5" xfId="0" applyNumberFormat="1" applyBorder="1" applyAlignment="1">
      <alignment horizontal="right" vertical="center"/>
    </xf>
    <xf numFmtId="4" fontId="17" fillId="0" borderId="0" xfId="0" applyNumberFormat="1" applyFont="1"/>
    <xf numFmtId="43" fontId="22" fillId="0" borderId="0" xfId="4" applyFont="1"/>
    <xf numFmtId="43" fontId="0" fillId="0" borderId="0" xfId="4" applyFont="1" applyAlignment="1">
      <alignment wrapText="1"/>
    </xf>
    <xf numFmtId="43" fontId="7" fillId="0" borderId="0" xfId="4" applyFont="1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center" vertical="center"/>
    </xf>
    <xf numFmtId="166" fontId="0" fillId="0" borderId="0" xfId="4" applyNumberFormat="1" applyFont="1" applyFill="1" applyBorder="1" applyAlignment="1">
      <alignment horizontal="left" vertical="center"/>
    </xf>
    <xf numFmtId="169" fontId="0" fillId="0" borderId="0" xfId="0" applyNumberFormat="1" applyAlignment="1">
      <alignment vertical="center"/>
    </xf>
    <xf numFmtId="43" fontId="0" fillId="0" borderId="5" xfId="4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0" fontId="18" fillId="3" borderId="5" xfId="0" applyFont="1" applyFill="1" applyBorder="1" applyAlignment="1">
      <alignment horizontal="center" vertical="center" wrapText="1"/>
    </xf>
  </cellXfs>
  <cellStyles count="8">
    <cellStyle name="Moeda 2" xfId="3" xr:uid="{00000000-0005-0000-0000-000000000000}"/>
    <cellStyle name="Moeda 2 2" xfId="6" xr:uid="{92F1FE12-7402-437F-A637-8D9A8E12AB21}"/>
    <cellStyle name="Normal" xfId="0" builtinId="0"/>
    <cellStyle name="Porcentagem" xfId="1" builtinId="5"/>
    <cellStyle name="Vírgula" xfId="4" builtinId="3"/>
    <cellStyle name="Vírgula 2" xfId="2" xr:uid="{00000000-0005-0000-0000-000004000000}"/>
    <cellStyle name="Vírgula 2 2" xfId="5" xr:uid="{1501AC09-432C-4DD9-94D9-12C8621B26C0}"/>
    <cellStyle name="Vírgula 3" xfId="7" xr:uid="{1E0B13D1-0832-4C8E-B6F4-B3D9AE4F02B9}"/>
  </cellStyles>
  <dxfs count="0"/>
  <tableStyles count="1" defaultTableStyle="TableStyleMedium2" defaultPivotStyle="PivotStyleLight16">
    <tableStyle name="Invisible" pivot="0" table="0" count="0" xr9:uid="{776DB3CE-0531-4B4A-9082-6C9802EB59C2}"/>
  </tableStyles>
  <colors>
    <mruColors>
      <color rgb="FFFF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1619885</xdr:colOff>
      <xdr:row>0</xdr:row>
      <xdr:rowOff>581913</xdr:rowOff>
    </xdr:to>
    <xdr:pic>
      <xdr:nvPicPr>
        <xdr:cNvPr id="2" name="Imagem 1" descr="Ícone&#10;&#10;Descrição gerada automaticamente com confiança baixa">
          <a:extLst>
            <a:ext uri="{FF2B5EF4-FFF2-40B4-BE49-F238E27FC236}">
              <a16:creationId xmlns:a16="http://schemas.microsoft.com/office/drawing/2014/main" id="{9252FFE3-DF21-4C52-B95A-6F3C4B8B5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23973" cy="4187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115983</xdr:colOff>
      <xdr:row>0</xdr:row>
      <xdr:rowOff>181163</xdr:rowOff>
    </xdr:from>
    <xdr:to>
      <xdr:col>1</xdr:col>
      <xdr:colOff>1439956</xdr:colOff>
      <xdr:row>0</xdr:row>
      <xdr:rowOff>603055</xdr:rowOff>
    </xdr:to>
    <xdr:pic>
      <xdr:nvPicPr>
        <xdr:cNvPr id="2" name="Imagem 1" descr="Ícone&#10;&#10;Descrição gerada automaticamente com confiança baixa">
          <a:extLst>
            <a:ext uri="{FF2B5EF4-FFF2-40B4-BE49-F238E27FC236}">
              <a16:creationId xmlns:a16="http://schemas.microsoft.com/office/drawing/2014/main" id="{87A74218-FC76-4E5F-B239-B131479DA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365" y="181163"/>
          <a:ext cx="1323973" cy="421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1616075</xdr:colOff>
      <xdr:row>0</xdr:row>
      <xdr:rowOff>583818</xdr:rowOff>
    </xdr:to>
    <xdr:pic>
      <xdr:nvPicPr>
        <xdr:cNvPr id="2" name="Imagem 1" descr="Ícone&#10;&#10;Descrição gerada automaticamente com confiança baixa">
          <a:extLst>
            <a:ext uri="{FF2B5EF4-FFF2-40B4-BE49-F238E27FC236}">
              <a16:creationId xmlns:a16="http://schemas.microsoft.com/office/drawing/2014/main" id="{9A78783F-3677-46FA-99D0-4CD4F7DF7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23973" cy="4187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292102</xdr:colOff>
      <xdr:row>0</xdr:row>
      <xdr:rowOff>161926</xdr:rowOff>
    </xdr:from>
    <xdr:to>
      <xdr:col>0</xdr:col>
      <xdr:colOff>1616075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CA948623-72BB-4AF6-A490-DCF74D3E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23973" cy="4218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1616075</xdr:colOff>
      <xdr:row>0</xdr:row>
      <xdr:rowOff>583818</xdr:rowOff>
    </xdr:to>
    <xdr:pic>
      <xdr:nvPicPr>
        <xdr:cNvPr id="4" name="Imagem 3" descr="Ícone&#10;&#10;Descrição gerada automaticamente com confiança baixa">
          <a:extLst>
            <a:ext uri="{FF2B5EF4-FFF2-40B4-BE49-F238E27FC236}">
              <a16:creationId xmlns:a16="http://schemas.microsoft.com/office/drawing/2014/main" id="{F88D4028-6239-49CB-81D8-6385311B4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23973" cy="4187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1616075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681DC249-DE44-4932-8319-BD93703FD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23973" cy="4218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1616075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998A3563-CAE1-4C28-BFD3-1F0A7EF19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23973" cy="4187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1616075</xdr:colOff>
      <xdr:row>0</xdr:row>
      <xdr:rowOff>580643</xdr:rowOff>
    </xdr:to>
    <xdr:pic>
      <xdr:nvPicPr>
        <xdr:cNvPr id="2" name="Imagem 1" descr="Ícone&#10;&#10;Descrição gerada automaticamente com confiança baixa">
          <a:extLst>
            <a:ext uri="{FF2B5EF4-FFF2-40B4-BE49-F238E27FC236}">
              <a16:creationId xmlns:a16="http://schemas.microsoft.com/office/drawing/2014/main" id="{B1EBF5FA-59D8-45EB-BA68-4992D9DB8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23973" cy="4187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1616075</xdr:colOff>
      <xdr:row>0</xdr:row>
      <xdr:rowOff>580643</xdr:rowOff>
    </xdr:to>
    <xdr:pic>
      <xdr:nvPicPr>
        <xdr:cNvPr id="2" name="Imagem 1" descr="Ícone&#10;&#10;Descrição gerada automaticamente com confiança baixa">
          <a:extLst>
            <a:ext uri="{FF2B5EF4-FFF2-40B4-BE49-F238E27FC236}">
              <a16:creationId xmlns:a16="http://schemas.microsoft.com/office/drawing/2014/main" id="{398438C6-3C66-4A22-B9A0-4312BC21E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23973" cy="4187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1616075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ED3215F5-D025-4114-AF46-8383952E9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23973" cy="418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CCEE1">
  <a:themeElements>
    <a:clrScheme name="Personalizada 1">
      <a:dk1>
        <a:srgbClr val="4C4C4C"/>
      </a:dk1>
      <a:lt1>
        <a:sysClr val="window" lastClr="FFFFFF"/>
      </a:lt1>
      <a:dk2>
        <a:srgbClr val="000C4C"/>
      </a:dk2>
      <a:lt2>
        <a:srgbClr val="B8DDE1"/>
      </a:lt2>
      <a:accent1>
        <a:srgbClr val="06038D"/>
      </a:accent1>
      <a:accent2>
        <a:srgbClr val="B8DDE1"/>
      </a:accent2>
      <a:accent3>
        <a:srgbClr val="000C4C"/>
      </a:accent3>
      <a:accent4>
        <a:srgbClr val="FFFFFF"/>
      </a:accent4>
      <a:accent5>
        <a:srgbClr val="4C4C4C"/>
      </a:accent5>
      <a:accent6>
        <a:srgbClr val="002060"/>
      </a:accent6>
      <a:hlink>
        <a:srgbClr val="4C4C4C"/>
      </a:hlink>
      <a:folHlink>
        <a:srgbClr val="00FFFF"/>
      </a:folHlink>
    </a:clrScheme>
    <a:fontScheme name="CCEE-fonte">
      <a:majorFont>
        <a:latin typeface="Inter Black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topLeftCell="A7" zoomScaleNormal="100" workbookViewId="0">
      <selection activeCell="C16" sqref="C16"/>
    </sheetView>
  </sheetViews>
  <sheetFormatPr defaultColWidth="9.1640625" defaultRowHeight="19.5" customHeight="1"/>
  <cols>
    <col min="1" max="1" width="53.4140625" customWidth="1"/>
    <col min="2" max="2" width="15.6640625" customWidth="1"/>
    <col min="3" max="3" width="23.9140625" customWidth="1"/>
    <col min="4" max="4" width="22.1640625" customWidth="1"/>
    <col min="5" max="5" width="15.1640625" customWidth="1"/>
    <col min="6" max="6" width="13.6640625" customWidth="1"/>
  </cols>
  <sheetData>
    <row r="1" spans="1:6" ht="49.5" customHeight="1">
      <c r="C1" s="32" t="s">
        <v>240</v>
      </c>
    </row>
    <row r="2" spans="1:6" ht="19.5" customHeight="1">
      <c r="B2" s="33" t="s">
        <v>239</v>
      </c>
      <c r="C2" s="34">
        <v>46143</v>
      </c>
    </row>
    <row r="3" spans="1:6" ht="19.5" customHeight="1">
      <c r="B3" s="1"/>
      <c r="C3" s="12"/>
    </row>
    <row r="4" spans="1:6" ht="30" customHeight="1">
      <c r="A4" s="35" t="s">
        <v>16</v>
      </c>
      <c r="B4" s="36" t="s">
        <v>3</v>
      </c>
      <c r="C4" s="37">
        <f>SUM(C5:C8)</f>
        <v>103260239.73802407</v>
      </c>
    </row>
    <row r="5" spans="1:6" ht="19.5" customHeight="1">
      <c r="A5" s="38" t="s">
        <v>241</v>
      </c>
      <c r="B5" s="39" t="s">
        <v>3</v>
      </c>
      <c r="C5" s="40">
        <f>'COMBUSTÍVEL OD'!$AB$72</f>
        <v>830280.94145099993</v>
      </c>
      <c r="D5" s="73"/>
      <c r="E5" s="14"/>
      <c r="F5" s="14"/>
    </row>
    <row r="6" spans="1:6" ht="19.5" customHeight="1">
      <c r="A6" s="38" t="s">
        <v>242</v>
      </c>
      <c r="B6" s="39" t="s">
        <v>3</v>
      </c>
      <c r="C6" s="40">
        <f>'GERAÇÃO PRÓPRIA'!$P$62+LOCAÇÃO!P18+SIGFI!K8+MIGDI!J27</f>
        <v>3264779.7722827033</v>
      </c>
      <c r="D6" s="73"/>
      <c r="E6" s="14"/>
      <c r="F6" s="14"/>
    </row>
    <row r="7" spans="1:6" ht="19.5" customHeight="1">
      <c r="A7" s="38" t="s">
        <v>243</v>
      </c>
      <c r="B7" s="39" t="s">
        <v>3</v>
      </c>
      <c r="C7" s="40">
        <f>CCESI!W16+CCESI!W32</f>
        <v>99001538.017782003</v>
      </c>
      <c r="D7" s="73"/>
      <c r="E7" s="14"/>
      <c r="F7" s="14"/>
    </row>
    <row r="8" spans="1:6" ht="19.5" customHeight="1">
      <c r="A8" s="38" t="s">
        <v>244</v>
      </c>
      <c r="B8" s="39" t="s">
        <v>3</v>
      </c>
      <c r="C8" s="40">
        <f>FRETE!$K$73</f>
        <v>163641.00650836746</v>
      </c>
      <c r="D8" s="73"/>
      <c r="E8" s="14"/>
      <c r="F8" s="14"/>
    </row>
    <row r="9" spans="1:6" ht="19.5" customHeight="1">
      <c r="A9" s="38" t="s">
        <v>9</v>
      </c>
      <c r="B9" s="39" t="s">
        <v>10</v>
      </c>
      <c r="C9" s="40">
        <f>'GERAÇÃO PRÓPRIA'!$E$62+CCESI!$E$16+LOCAÇÃO!E18+SIGFI!E8+MIGDI!D27+'IMPORTAÇÃO VENEZUELA'!D5</f>
        <v>80162.864860000016</v>
      </c>
      <c r="E9" s="14"/>
      <c r="F9" s="14"/>
    </row>
    <row r="10" spans="1:6" ht="19.5" customHeight="1">
      <c r="A10" s="38" t="s">
        <v>11</v>
      </c>
      <c r="B10" s="39" t="s">
        <v>3</v>
      </c>
      <c r="C10" s="40"/>
    </row>
    <row r="11" spans="1:6" ht="19.5" customHeight="1">
      <c r="A11" s="38" t="s">
        <v>12</v>
      </c>
      <c r="B11" s="39" t="s">
        <v>13</v>
      </c>
      <c r="C11" s="40">
        <v>342.71</v>
      </c>
      <c r="E11" s="14"/>
      <c r="F11" s="14"/>
    </row>
    <row r="12" spans="1:6" ht="19.5" customHeight="1">
      <c r="A12" s="38" t="s">
        <v>14</v>
      </c>
      <c r="B12" s="39" t="s">
        <v>15</v>
      </c>
      <c r="C12" s="40">
        <v>1</v>
      </c>
      <c r="D12" s="14"/>
      <c r="E12" s="14"/>
      <c r="F12" s="14"/>
    </row>
    <row r="13" spans="1:6" ht="19.5" customHeight="1">
      <c r="A13" s="35" t="s">
        <v>0</v>
      </c>
      <c r="B13" s="36" t="s">
        <v>3</v>
      </c>
      <c r="C13" s="41">
        <f>ROUND((C4-(C9*C11))-(C18-(C9*C11))*(1-C12),2)</f>
        <v>75787624.319999993</v>
      </c>
      <c r="E13" s="14"/>
      <c r="F13" s="14"/>
    </row>
    <row r="14" spans="1:6" ht="19.5" customHeight="1">
      <c r="A14" s="35" t="s">
        <v>1</v>
      </c>
      <c r="B14" s="36" t="s">
        <v>3</v>
      </c>
      <c r="C14" s="41">
        <v>72613808.020000011</v>
      </c>
      <c r="E14" s="14"/>
      <c r="F14" s="14"/>
    </row>
    <row r="15" spans="1:6" ht="19.5" customHeight="1">
      <c r="A15" s="35" t="s">
        <v>304</v>
      </c>
      <c r="B15" s="36" t="s">
        <v>3</v>
      </c>
      <c r="C15" s="41">
        <v>490701.37</v>
      </c>
      <c r="E15" s="14"/>
      <c r="F15" s="14"/>
    </row>
    <row r="16" spans="1:6" ht="19.5" customHeight="1">
      <c r="A16" s="35" t="s">
        <v>2</v>
      </c>
      <c r="B16" s="36" t="s">
        <v>3</v>
      </c>
      <c r="C16" s="41">
        <f>C13-C14-C15</f>
        <v>2683114.929999982</v>
      </c>
      <c r="D16" s="30"/>
      <c r="E16" s="14"/>
      <c r="F16" s="14"/>
    </row>
    <row r="17" spans="1:6" ht="19.5" customHeight="1">
      <c r="D17" s="14"/>
    </row>
    <row r="18" spans="1:6" ht="15" hidden="1" customHeight="1">
      <c r="A18" s="35" t="s">
        <v>179</v>
      </c>
      <c r="B18" s="36" t="s">
        <v>3</v>
      </c>
      <c r="C18" s="41">
        <v>42717107.740000002</v>
      </c>
      <c r="E18" s="14"/>
      <c r="F18" s="14"/>
    </row>
    <row r="19" spans="1:6" ht="17.149999999999999" hidden="1" customHeight="1">
      <c r="A19" s="35" t="s">
        <v>182</v>
      </c>
      <c r="B19" s="36" t="s">
        <v>180</v>
      </c>
      <c r="C19" s="41">
        <f>SUM(CCESI!F4:F15)/1000</f>
        <v>180.84039999999999</v>
      </c>
      <c r="E19" s="14"/>
      <c r="F19" s="14"/>
    </row>
    <row r="20" spans="1:6" ht="17.149999999999999" hidden="1" customHeight="1">
      <c r="A20" s="35" t="s">
        <v>183</v>
      </c>
      <c r="B20" s="36" t="s">
        <v>180</v>
      </c>
      <c r="C20" s="41">
        <v>293.86900000000003</v>
      </c>
      <c r="E20" s="14"/>
      <c r="F20" s="14"/>
    </row>
    <row r="21" spans="1:6" ht="15" hidden="1" customHeight="1">
      <c r="A21" s="35" t="s">
        <v>181</v>
      </c>
      <c r="B21" s="36"/>
      <c r="C21" s="41">
        <f>C4*(C19/C20)+C18*(1-C19/C20)</f>
        <v>79973995.018942222</v>
      </c>
      <c r="E21" s="14"/>
      <c r="F21" s="14"/>
    </row>
    <row r="22" spans="1:6" ht="19.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2A6D-0DFC-4DDB-AFBC-386EDD370091}">
  <dimension ref="A1:M26"/>
  <sheetViews>
    <sheetView showGridLines="0" zoomScale="85" zoomScaleNormal="85" workbookViewId="0">
      <selection activeCell="G9" sqref="G9"/>
    </sheetView>
  </sheetViews>
  <sheetFormatPr defaultColWidth="9.1640625" defaultRowHeight="19.5" customHeight="1"/>
  <cols>
    <col min="1" max="1" width="2.83203125" customWidth="1"/>
    <col min="2" max="2" width="26.6640625" customWidth="1"/>
    <col min="3" max="3" width="30.6640625" customWidth="1"/>
    <col min="4" max="4" width="16.6640625" customWidth="1"/>
    <col min="5" max="5" width="16.6640625" hidden="1" customWidth="1"/>
    <col min="6" max="7" width="20.6640625" customWidth="1"/>
    <col min="8" max="8" width="9.1640625" customWidth="1"/>
    <col min="9" max="9" width="10.58203125" bestFit="1" customWidth="1"/>
    <col min="11" max="11" width="19.5" bestFit="1" customWidth="1"/>
    <col min="12" max="12" width="24.83203125" bestFit="1" customWidth="1"/>
  </cols>
  <sheetData>
    <row r="1" spans="1:13" ht="49.5" customHeight="1">
      <c r="C1" s="51" t="s">
        <v>288</v>
      </c>
    </row>
    <row r="2" spans="1:13" ht="30" customHeight="1">
      <c r="B2" s="33" t="s">
        <v>239</v>
      </c>
      <c r="C2" s="13">
        <f>RESUMO!C2</f>
        <v>46143</v>
      </c>
      <c r="E2" s="5"/>
    </row>
    <row r="3" spans="1:13" s="9" customFormat="1" ht="60" customHeight="1">
      <c r="A3"/>
      <c r="B3" s="59" t="s">
        <v>4</v>
      </c>
      <c r="C3" s="59" t="s">
        <v>217</v>
      </c>
      <c r="D3" s="59" t="s">
        <v>252</v>
      </c>
      <c r="E3" s="59" t="s">
        <v>287</v>
      </c>
      <c r="F3" s="66" t="s">
        <v>291</v>
      </c>
      <c r="G3" s="5"/>
      <c r="H3" s="5"/>
      <c r="K3"/>
      <c r="L3"/>
      <c r="M3"/>
    </row>
    <row r="4" spans="1:13" s="9" customFormat="1" ht="20.149999999999999" customHeight="1">
      <c r="A4"/>
      <c r="B4" s="39" t="s">
        <v>118</v>
      </c>
      <c r="C4" s="39" t="s">
        <v>119</v>
      </c>
      <c r="D4" s="61">
        <v>75.083929999999995</v>
      </c>
      <c r="E4" s="57">
        <f>VLOOKUP(B4,LOCAÇÃO!B:K,10,0)+VLOOKUP(B4,'COMBUSTÍVEL OD'!B:AB,27,0)</f>
        <v>160764.989516</v>
      </c>
      <c r="F4" s="61">
        <f t="shared" ref="F4:F15" si="0">E4/D4</f>
        <v>2141.1371183687374</v>
      </c>
      <c r="G4" s="5"/>
      <c r="H4" s="5"/>
      <c r="K4"/>
      <c r="L4"/>
      <c r="M4"/>
    </row>
    <row r="5" spans="1:13" s="9" customFormat="1" ht="20.149999999999999" customHeight="1">
      <c r="A5"/>
      <c r="B5" s="39" t="s">
        <v>82</v>
      </c>
      <c r="C5" s="39" t="s">
        <v>83</v>
      </c>
      <c r="D5" s="61">
        <v>249.96627299999997</v>
      </c>
      <c r="E5" s="57">
        <f>VLOOKUP(B5,LOCAÇÃO!B:K,10,0)+VLOOKUP(B5,'COMBUSTÍVEL OD'!B:AB,27,0)</f>
        <v>569550.45210386347</v>
      </c>
      <c r="F5" s="61">
        <f t="shared" si="0"/>
        <v>2278.5091975342752</v>
      </c>
      <c r="G5" s="5"/>
      <c r="H5" s="5"/>
      <c r="K5"/>
      <c r="L5"/>
      <c r="M5"/>
    </row>
    <row r="6" spans="1:13" s="9" customFormat="1" ht="20.149999999999999" customHeight="1">
      <c r="A6"/>
      <c r="B6" s="39" t="s">
        <v>186</v>
      </c>
      <c r="C6" s="39" t="s">
        <v>187</v>
      </c>
      <c r="D6" s="98">
        <v>1144.5217050000001</v>
      </c>
      <c r="E6" s="57">
        <v>2346531.6851434857</v>
      </c>
      <c r="F6" s="61">
        <f t="shared" si="0"/>
        <v>2050.2290825</v>
      </c>
      <c r="G6" s="5"/>
      <c r="H6" s="5"/>
      <c r="K6"/>
      <c r="L6"/>
      <c r="M6"/>
    </row>
    <row r="7" spans="1:13" s="9" customFormat="1" ht="20.149999999999999" customHeight="1">
      <c r="A7"/>
      <c r="B7" s="39" t="s">
        <v>92</v>
      </c>
      <c r="C7" s="39" t="s">
        <v>93</v>
      </c>
      <c r="D7" s="61">
        <v>0</v>
      </c>
      <c r="E7" s="57">
        <f>VLOOKUP(B7,LOCAÇÃO!B:K,10,0)+(VLOOKUP(B7,'COMBUSTÍVEL OD'!B:AB,20,0)+VLOOKUP(B7,'COMBUSTÍVEL OD'!B:AB,24,0)+VLOOKUP(B7,'COMBUSTÍVEL OD'!B:AB,25,0))*$H$20</f>
        <v>0</v>
      </c>
      <c r="F7" s="61">
        <f>IF(D7=0,0,((VLOOKUP(B7,'COMBUSTÍVEL OD'!B:U,20,0)+VLOOKUP(B7,'COMBUSTÍVEL OD'!B:Y,24,0)+VLOOKUP(B7,'COMBUSTÍVEL OD'!B:Z,25,0))*1000*0.283)+VLOOKUP(B7,LOCAÇÃO!B:K,10,0)/D7)</f>
        <v>0</v>
      </c>
      <c r="G7" s="29"/>
      <c r="H7" s="5"/>
      <c r="K7"/>
      <c r="L7"/>
      <c r="M7"/>
    </row>
    <row r="8" spans="1:13" s="9" customFormat="1" ht="20.149999999999999" customHeight="1">
      <c r="A8"/>
      <c r="B8" s="39" t="s">
        <v>152</v>
      </c>
      <c r="C8" s="39" t="s">
        <v>329</v>
      </c>
      <c r="D8" s="61">
        <v>0</v>
      </c>
      <c r="E8" s="57">
        <f>VLOOKUP(B8,LOCAÇÃO!B:K,10,0)+(VLOOKUP(B7,'COMBUSTÍVEL OD'!B:AB,20,0)+VLOOKUP(B7,'COMBUSTÍVEL OD'!B:AB,24,0)+VLOOKUP(B7,'COMBUSTÍVEL OD'!B:AB,25,0))*$H$21</f>
        <v>0</v>
      </c>
      <c r="F8" s="61">
        <f>IF(D8=0,0,((VLOOKUP(B8,'COMBUSTÍVEL OD'!B:U,20,0)+VLOOKUP(B8,'COMBUSTÍVEL OD'!B:Y,24,0)+VLOOKUP(B8,'COMBUSTÍVEL OD'!B:Z,25,0))*1000*0.283)+VLOOKUP(B8,LOCAÇÃO!B:K,10,0)/D8)</f>
        <v>0</v>
      </c>
      <c r="G8" s="29"/>
      <c r="H8" s="5"/>
      <c r="K8"/>
      <c r="L8"/>
      <c r="M8"/>
    </row>
    <row r="9" spans="1:13" s="9" customFormat="1" ht="20.149999999999999" customHeight="1">
      <c r="A9"/>
      <c r="B9" s="39" t="s">
        <v>84</v>
      </c>
      <c r="C9" s="39" t="s">
        <v>85</v>
      </c>
      <c r="D9" s="61">
        <v>0</v>
      </c>
      <c r="E9" s="57">
        <f>VLOOKUP(B9,LOCAÇÃO!B:K,10,0)+VLOOKUP(B9,'COMBUSTÍVEL OD'!B:AB,27,0)</f>
        <v>0</v>
      </c>
      <c r="F9" s="61">
        <f>IF(D9=0,0,((VLOOKUP(B9,'COMBUSTÍVEL OD'!B:U,20,0)+VLOOKUP(B9,'COMBUSTÍVEL OD'!B:Y,24,0)+VLOOKUP(B9,'COMBUSTÍVEL OD'!B:Z,25,0))*1000*0.283)+VLOOKUP(B9,LOCAÇÃO!B:K,10,0)/D9)</f>
        <v>0</v>
      </c>
      <c r="G9" s="29"/>
      <c r="H9" s="5"/>
      <c r="K9"/>
      <c r="L9"/>
      <c r="M9"/>
    </row>
    <row r="10" spans="1:13" ht="19.5" hidden="1" customHeight="1">
      <c r="B10" s="39" t="s">
        <v>28</v>
      </c>
      <c r="C10" s="39" t="s">
        <v>29</v>
      </c>
      <c r="D10" s="61">
        <v>0</v>
      </c>
      <c r="E10" s="57">
        <f>VLOOKUP(B10,LOCAÇÃO!B:K,10,0)+VLOOKUP(B10,'COMBUSTÍVEL OD'!B:AB,27,0)</f>
        <v>0</v>
      </c>
      <c r="F10" s="61">
        <f>IF(D10=0,0,((VLOOKUP(B10,'COMBUSTÍVEL OD'!B:U,20,0)+VLOOKUP(B10,'COMBUSTÍVEL OD'!B:Y,24,0)+VLOOKUP(B10,'COMBUSTÍVEL OD'!B:Z,25,0))*1000*0.283)+VLOOKUP(B10,LOCAÇÃO!B:K,10,0)/D10)</f>
        <v>0</v>
      </c>
    </row>
    <row r="11" spans="1:13" ht="19.5" customHeight="1">
      <c r="A11" s="67"/>
      <c r="B11" s="39" t="s">
        <v>292</v>
      </c>
      <c r="C11" s="39" t="s">
        <v>91</v>
      </c>
      <c r="D11" s="61">
        <v>0</v>
      </c>
      <c r="E11" s="57">
        <f>VLOOKUP(B11,LOCAÇÃO!B:K,10,0)+VLOOKUP(B11,'COMBUSTÍVEL OD'!B:AB,27,0)+VLOOKUP(B26,LOCAÇÃO!B:K,10,0)</f>
        <v>0</v>
      </c>
      <c r="F11" s="61">
        <f>IF(D11=0,0,((VLOOKUP(B11,'COMBUSTÍVEL OD'!B:U,20,0)+VLOOKUP(B11,'COMBUSTÍVEL OD'!B:Y,24,0)+VLOOKUP(B11,'COMBUSTÍVEL OD'!B:Z,25,0))*1000*0.283)+VLOOKUP(B11,LOCAÇÃO!B:K,10,0)/D11)</f>
        <v>0</v>
      </c>
      <c r="G11" s="29"/>
      <c r="H11" s="14"/>
    </row>
    <row r="12" spans="1:13" ht="19.5" customHeight="1">
      <c r="B12" s="39" t="s">
        <v>282</v>
      </c>
      <c r="C12" s="39" t="s">
        <v>283</v>
      </c>
      <c r="D12" s="98">
        <v>1250.220368</v>
      </c>
      <c r="E12" s="57">
        <v>1858471.2934713971</v>
      </c>
      <c r="F12" s="61">
        <f t="shared" si="0"/>
        <v>1486.5149705123001</v>
      </c>
    </row>
    <row r="13" spans="1:13" ht="19.5" customHeight="1">
      <c r="B13" s="39" t="s">
        <v>284</v>
      </c>
      <c r="C13" s="39" t="s">
        <v>285</v>
      </c>
      <c r="D13" s="98">
        <v>1199.9562109999999</v>
      </c>
      <c r="E13" s="57">
        <v>1775102.9899597843</v>
      </c>
      <c r="F13" s="61">
        <f t="shared" si="0"/>
        <v>1479.3064727591</v>
      </c>
    </row>
    <row r="14" spans="1:13" ht="19.5" hidden="1" customHeight="1">
      <c r="B14" s="39" t="s">
        <v>96</v>
      </c>
      <c r="C14" s="39" t="s">
        <v>97</v>
      </c>
      <c r="D14" s="61">
        <v>0</v>
      </c>
      <c r="E14" s="57">
        <f>VLOOKUP(B14,LOCAÇÃO!B:K,10,0)+VLOOKUP(B14,'COMBUSTÍVEL OD'!B:AB,27,0)</f>
        <v>0</v>
      </c>
      <c r="F14" s="61" t="e">
        <f t="shared" si="0"/>
        <v>#DIV/0!</v>
      </c>
    </row>
    <row r="15" spans="1:13" ht="19.5" customHeight="1">
      <c r="B15" s="39" t="s">
        <v>197</v>
      </c>
      <c r="C15" s="39" t="s">
        <v>198</v>
      </c>
      <c r="D15" s="98">
        <v>2052.9048379999999</v>
      </c>
      <c r="E15" s="57">
        <v>3207804.1132518789</v>
      </c>
      <c r="F15" s="61">
        <f t="shared" si="0"/>
        <v>1562.5683440724001</v>
      </c>
    </row>
    <row r="16" spans="1:13" ht="19.5" customHeight="1">
      <c r="B16" s="39" t="s">
        <v>203</v>
      </c>
      <c r="C16" s="39" t="s">
        <v>204</v>
      </c>
      <c r="D16" s="98">
        <v>4027.6969079999999</v>
      </c>
      <c r="E16" s="57">
        <v>550930.70595199999</v>
      </c>
      <c r="F16" s="61">
        <v>555.69136499955721</v>
      </c>
    </row>
    <row r="17" spans="1:13" ht="19.5" customHeight="1">
      <c r="B17" s="39" t="s">
        <v>200</v>
      </c>
      <c r="C17" s="39" t="s">
        <v>201</v>
      </c>
      <c r="D17" s="98">
        <v>4016.3031620000002</v>
      </c>
      <c r="E17" s="57">
        <v>544599.29968499998</v>
      </c>
      <c r="F17" s="61">
        <v>555.69136499975923</v>
      </c>
    </row>
    <row r="18" spans="1:13" ht="19.5" customHeight="1">
      <c r="B18" s="39" t="s">
        <v>206</v>
      </c>
      <c r="C18" s="39" t="s">
        <v>207</v>
      </c>
      <c r="D18" s="98">
        <v>4099.9492039999996</v>
      </c>
      <c r="E18" s="57">
        <v>591080.68294099998</v>
      </c>
      <c r="F18" s="61">
        <v>555.6913649999409</v>
      </c>
    </row>
    <row r="19" spans="1:13" ht="19.5" customHeight="1">
      <c r="B19" s="39" t="s">
        <v>209</v>
      </c>
      <c r="C19" s="39" t="s">
        <v>210</v>
      </c>
      <c r="D19" s="98">
        <v>4072.971904</v>
      </c>
      <c r="E19" s="57">
        <v>576089.63028000004</v>
      </c>
      <c r="F19" s="61">
        <v>555.69136499995318</v>
      </c>
    </row>
    <row r="20" spans="1:13" ht="19.5" customHeight="1">
      <c r="B20" s="39" t="s">
        <v>189</v>
      </c>
      <c r="C20" s="39" t="s">
        <v>190</v>
      </c>
      <c r="D20" s="98">
        <v>52300.252252999999</v>
      </c>
      <c r="E20" s="57">
        <v>15127795.716228001</v>
      </c>
      <c r="F20" s="61">
        <f>E20/D20</f>
        <v>289.24900099999525</v>
      </c>
      <c r="H20" s="72"/>
    </row>
    <row r="21" spans="1:13" ht="19.5" customHeight="1">
      <c r="B21" s="39" t="s">
        <v>192</v>
      </c>
      <c r="C21" s="39" t="s">
        <v>193</v>
      </c>
      <c r="D21" s="98">
        <v>1480.94373</v>
      </c>
      <c r="E21" s="57">
        <v>0</v>
      </c>
      <c r="F21" s="61">
        <v>876.44159000000002</v>
      </c>
      <c r="H21" s="72"/>
    </row>
    <row r="22" spans="1:13" ht="19.5" hidden="1" customHeight="1">
      <c r="B22" s="39" t="s">
        <v>157</v>
      </c>
      <c r="C22" s="39" t="s">
        <v>158</v>
      </c>
      <c r="D22" s="61">
        <v>0</v>
      </c>
      <c r="E22" s="57">
        <f>VLOOKUP(B22,LOCAÇÃO!B:K,10,0)+VLOOKUP(B22,'COMBUSTÍVEL OD'!B:AB,27,0)</f>
        <v>0</v>
      </c>
      <c r="F22" s="45" t="e">
        <f t="shared" ref="F22" si="1">E22/D22</f>
        <v>#DIV/0!</v>
      </c>
      <c r="K22" s="9"/>
      <c r="L22" s="9"/>
      <c r="M22" s="9"/>
    </row>
    <row r="24" spans="1:13" ht="19.5" customHeight="1">
      <c r="F24" s="73"/>
    </row>
    <row r="25" spans="1:13" ht="14"/>
    <row r="26" spans="1:13" s="9" customFormat="1" ht="20.149999999999999" customHeight="1">
      <c r="A26"/>
      <c r="B26" s="39" t="s">
        <v>90</v>
      </c>
      <c r="C26" s="39" t="s">
        <v>91</v>
      </c>
      <c r="D26" s="61">
        <v>0</v>
      </c>
      <c r="E26" s="57"/>
      <c r="F26" s="61">
        <v>0</v>
      </c>
      <c r="G26" s="5"/>
      <c r="H26" s="5"/>
      <c r="K26"/>
      <c r="L26"/>
      <c r="M26"/>
    </row>
  </sheetData>
  <sortState xmlns:xlrd2="http://schemas.microsoft.com/office/spreadsheetml/2017/richdata2" ref="B4:F21">
    <sortCondition descending="1" ref="F4:F21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F20 F6 E4:F4 E5:F5 F13 E7 E8 E9 E10 E11 F15 E14:F14 F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054A-7B5C-4EB8-8832-744CF40799A6}">
  <dimension ref="A1:AF13"/>
  <sheetViews>
    <sheetView showGridLines="0" zoomScale="85" zoomScaleNormal="85" workbookViewId="0">
      <selection activeCell="D14" sqref="D14"/>
    </sheetView>
  </sheetViews>
  <sheetFormatPr defaultRowHeight="19.5" customHeight="1"/>
  <cols>
    <col min="1" max="3" width="30.6640625" customWidth="1"/>
    <col min="4" max="4" width="28.58203125" bestFit="1" customWidth="1"/>
    <col min="5" max="5" width="16.6640625" customWidth="1"/>
    <col min="6" max="6" width="22.1640625" customWidth="1"/>
    <col min="7" max="7" width="10.33203125" customWidth="1"/>
    <col min="8" max="16" width="16.6640625" customWidth="1"/>
    <col min="17" max="20" width="20.6640625" customWidth="1"/>
  </cols>
  <sheetData>
    <row r="1" spans="1:32" ht="49.5" customHeight="1">
      <c r="C1" s="51" t="str">
        <f>RESUMO!C1</f>
        <v>reembolso mensal CCC - RORAIMA</v>
      </c>
      <c r="H1" s="15"/>
      <c r="I1" s="15"/>
      <c r="J1" s="15"/>
      <c r="K1" s="15"/>
      <c r="L1" s="15"/>
      <c r="M1" s="15"/>
      <c r="N1" s="15"/>
      <c r="O1" s="15"/>
    </row>
    <row r="2" spans="1:32" ht="30" customHeight="1">
      <c r="C2" s="33" t="s">
        <v>239</v>
      </c>
      <c r="D2" s="13">
        <f>RESUMO!C2</f>
        <v>46143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32" ht="15.5">
      <c r="C3" s="33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32" ht="19.5" customHeight="1">
      <c r="A4" s="42" t="s">
        <v>216</v>
      </c>
      <c r="B4" s="42" t="s">
        <v>338</v>
      </c>
      <c r="C4" s="42" t="s">
        <v>340</v>
      </c>
      <c r="D4" s="42" t="s">
        <v>342</v>
      </c>
    </row>
    <row r="5" spans="1:32" s="69" customFormat="1" ht="20.25" customHeight="1">
      <c r="A5" s="39" t="s">
        <v>358</v>
      </c>
      <c r="B5" s="39" t="s">
        <v>339</v>
      </c>
      <c r="C5" s="39" t="s">
        <v>341</v>
      </c>
      <c r="D5" s="39">
        <v>0</v>
      </c>
      <c r="E5" s="92"/>
      <c r="F5" s="92"/>
      <c r="G5" s="92"/>
      <c r="H5" s="92"/>
      <c r="I5" s="92"/>
      <c r="J5" s="92"/>
      <c r="K5" s="76"/>
      <c r="L5" s="76"/>
      <c r="M5" s="76"/>
      <c r="N5" s="76"/>
      <c r="O5" s="77"/>
      <c r="P5" s="77"/>
      <c r="Q5" s="78"/>
      <c r="R5" s="78"/>
      <c r="S5" s="78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</row>
    <row r="6" spans="1:32" ht="19.5" customHeight="1">
      <c r="A6" s="93"/>
      <c r="B6" s="94"/>
      <c r="C6" s="95"/>
      <c r="D6" s="96"/>
      <c r="E6" s="10"/>
      <c r="F6" s="97"/>
      <c r="G6" s="97"/>
      <c r="H6" s="29"/>
      <c r="I6" s="10"/>
      <c r="J6" s="29"/>
      <c r="K6" s="9"/>
      <c r="L6" s="9"/>
      <c r="M6" s="9"/>
      <c r="N6" s="9"/>
      <c r="O6" s="11"/>
      <c r="P6" s="11"/>
      <c r="Q6" s="10"/>
      <c r="R6" s="10"/>
      <c r="S6" s="10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19.5" customHeight="1">
      <c r="A7" s="93"/>
      <c r="B7" s="94"/>
      <c r="C7" s="95"/>
      <c r="D7" s="96"/>
      <c r="E7" s="10"/>
      <c r="F7" s="97"/>
      <c r="G7" s="97"/>
      <c r="H7" s="29"/>
      <c r="I7" s="10"/>
      <c r="J7" s="29"/>
      <c r="K7" s="9"/>
      <c r="L7" s="9"/>
      <c r="M7" s="9"/>
      <c r="N7" s="9"/>
      <c r="O7" s="11"/>
      <c r="P7" s="11"/>
      <c r="Q7" s="10"/>
      <c r="R7" s="10"/>
      <c r="S7" s="10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s="69" customFormat="1" ht="19.5" customHeight="1">
      <c r="C8" s="82"/>
      <c r="D8" s="82"/>
      <c r="E8" s="52"/>
      <c r="I8" s="83"/>
      <c r="J8" s="52"/>
    </row>
    <row r="11" spans="1:32" ht="19.5" customHeight="1">
      <c r="H11" s="14"/>
      <c r="I11" s="14"/>
      <c r="J11" s="14"/>
      <c r="K11" s="14"/>
      <c r="L11" s="14"/>
      <c r="M11" s="14"/>
      <c r="N11" s="14"/>
      <c r="O11" s="14"/>
      <c r="P11" s="14"/>
    </row>
    <row r="12" spans="1:32" ht="19.5" customHeight="1">
      <c r="H12" s="14"/>
      <c r="I12" s="14"/>
      <c r="J12" s="14"/>
      <c r="K12" s="14"/>
      <c r="L12" s="14"/>
      <c r="M12" s="14"/>
      <c r="N12" s="14"/>
      <c r="O12" s="14"/>
      <c r="P12" s="14"/>
    </row>
    <row r="13" spans="1:32" ht="19.5" customHeight="1">
      <c r="H13" s="14"/>
      <c r="I13" s="14"/>
      <c r="J13" s="14"/>
      <c r="K13" s="14"/>
      <c r="L13" s="14"/>
      <c r="M13" s="14"/>
      <c r="N13" s="14"/>
      <c r="O13" s="14"/>
      <c r="P13" s="1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7"/>
  <sheetViews>
    <sheetView showGridLines="0" zoomScale="85" zoomScaleNormal="85" workbookViewId="0">
      <selection activeCell="G3" sqref="G3"/>
    </sheetView>
  </sheetViews>
  <sheetFormatPr defaultRowHeight="19.5" customHeight="1"/>
  <cols>
    <col min="1" max="1" width="32" customWidth="1"/>
    <col min="2" max="2" width="25.6640625" customWidth="1"/>
    <col min="3" max="3" width="31.6640625" customWidth="1"/>
    <col min="4" max="5" width="18.83203125" customWidth="1"/>
    <col min="6" max="6" width="20.6640625" customWidth="1"/>
    <col min="7" max="12" width="16.6640625" customWidth="1"/>
    <col min="13" max="13" width="20.83203125" customWidth="1"/>
    <col min="14" max="28" width="16.6640625" customWidth="1"/>
    <col min="29" max="29" width="15.1640625" style="73" customWidth="1"/>
  </cols>
  <sheetData>
    <row r="1" spans="1:30" ht="49.5" customHeight="1">
      <c r="C1" s="32" t="str">
        <f>RESUMO!C1</f>
        <v>reembolso mensal CCC - RORAIMA</v>
      </c>
      <c r="D1" s="32"/>
      <c r="E1" s="32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90"/>
      <c r="AD1" s="15"/>
    </row>
    <row r="2" spans="1:30" ht="30" customHeight="1">
      <c r="A2" s="4"/>
      <c r="C2" s="3" t="s">
        <v>239</v>
      </c>
      <c r="D2" s="13">
        <f>RESUMO!C2</f>
        <v>46143</v>
      </c>
      <c r="E2" s="2"/>
      <c r="F2" s="2"/>
      <c r="G2" s="2"/>
      <c r="H2" s="2"/>
    </row>
    <row r="3" spans="1:30" ht="42">
      <c r="A3" s="42" t="s">
        <v>216</v>
      </c>
      <c r="B3" s="42" t="s">
        <v>4</v>
      </c>
      <c r="C3" s="42" t="s">
        <v>217</v>
      </c>
      <c r="D3" s="42" t="s">
        <v>218</v>
      </c>
      <c r="E3" s="42" t="s">
        <v>219</v>
      </c>
      <c r="F3" s="42" t="s">
        <v>220</v>
      </c>
      <c r="G3" s="42" t="s">
        <v>221</v>
      </c>
      <c r="H3" s="42" t="s">
        <v>222</v>
      </c>
      <c r="I3" s="42" t="s">
        <v>5</v>
      </c>
      <c r="J3" s="42" t="s">
        <v>6</v>
      </c>
      <c r="K3" s="42" t="s">
        <v>223</v>
      </c>
      <c r="L3" s="42" t="s">
        <v>224</v>
      </c>
      <c r="M3" s="42" t="s">
        <v>225</v>
      </c>
      <c r="N3" s="42" t="s">
        <v>226</v>
      </c>
      <c r="O3" s="42" t="s">
        <v>212</v>
      </c>
      <c r="P3" s="42" t="s">
        <v>227</v>
      </c>
      <c r="Q3" s="42" t="s">
        <v>211</v>
      </c>
      <c r="R3" s="42" t="s">
        <v>228</v>
      </c>
      <c r="S3" s="42" t="s">
        <v>229</v>
      </c>
      <c r="T3" s="42" t="s">
        <v>230</v>
      </c>
      <c r="U3" s="42" t="s">
        <v>231</v>
      </c>
      <c r="V3" s="42" t="s">
        <v>232</v>
      </c>
      <c r="W3" s="42" t="s">
        <v>233</v>
      </c>
      <c r="X3" s="42" t="s">
        <v>234</v>
      </c>
      <c r="Y3" s="42" t="s">
        <v>235</v>
      </c>
      <c r="Z3" s="42" t="s">
        <v>236</v>
      </c>
      <c r="AA3" s="42" t="s">
        <v>237</v>
      </c>
      <c r="AB3" s="42" t="s">
        <v>238</v>
      </c>
    </row>
    <row r="4" spans="1:30" ht="19.5" customHeight="1">
      <c r="A4" s="39" t="s">
        <v>17</v>
      </c>
      <c r="B4" s="39" t="s">
        <v>18</v>
      </c>
      <c r="C4" s="39" t="s">
        <v>19</v>
      </c>
      <c r="D4" s="39" t="s">
        <v>134</v>
      </c>
      <c r="E4" s="39" t="s">
        <v>135</v>
      </c>
      <c r="F4" s="43" t="s">
        <v>214</v>
      </c>
      <c r="G4" s="44">
        <v>0</v>
      </c>
      <c r="H4" s="45">
        <v>6.7469999999999999</v>
      </c>
      <c r="I4" s="45">
        <f>H4*0.0925</f>
        <v>0.62409749999999997</v>
      </c>
      <c r="J4" s="45">
        <v>1.17</v>
      </c>
      <c r="K4" s="45">
        <f>H4-I4-J4</f>
        <v>4.9529025000000004</v>
      </c>
      <c r="L4" s="44">
        <v>0</v>
      </c>
      <c r="M4" s="45">
        <f>(N4+O4)*L4</f>
        <v>0</v>
      </c>
      <c r="N4" s="45">
        <v>0</v>
      </c>
      <c r="O4" s="45">
        <f>ROUND(N4*0.0925,6)</f>
        <v>0</v>
      </c>
      <c r="P4" s="45">
        <f>ROUND(O4*L4,6)</f>
        <v>0</v>
      </c>
      <c r="Q4" s="45">
        <v>0</v>
      </c>
      <c r="R4" s="45">
        <f>ROUND(L4*Q4,6)</f>
        <v>0</v>
      </c>
      <c r="S4" s="45">
        <f t="shared" ref="S4:S35" si="0">M4-R4-P4</f>
        <v>0</v>
      </c>
      <c r="T4" s="46" t="s">
        <v>142</v>
      </c>
      <c r="U4" s="45">
        <f>IF(T4="S",N4-O4,SMALL((K4,N4),1))</f>
        <v>0</v>
      </c>
      <c r="V4" s="45">
        <f>ROUND(G4*U4,6)</f>
        <v>0</v>
      </c>
      <c r="W4" s="47">
        <v>1</v>
      </c>
      <c r="X4" s="47">
        <v>1</v>
      </c>
      <c r="Y4" s="45">
        <f>IF(T4="S",Q4,SMALL((J4,Q4),1))</f>
        <v>0</v>
      </c>
      <c r="Z4" s="45">
        <f>IF(T4="S",O4,SMALL((I4,O4),1))</f>
        <v>0</v>
      </c>
      <c r="AA4" s="45">
        <f>ROUND(((G4*Y4)*W4)+((G4*Z4)*X4),2)</f>
        <v>0</v>
      </c>
      <c r="AB4" s="45">
        <f>V4+AA4</f>
        <v>0</v>
      </c>
      <c r="AC4" s="89"/>
    </row>
    <row r="5" spans="1:30" ht="19.5" customHeight="1">
      <c r="A5" s="39" t="s">
        <v>17</v>
      </c>
      <c r="B5" s="39" t="s">
        <v>20</v>
      </c>
      <c r="C5" s="39" t="s">
        <v>21</v>
      </c>
      <c r="D5" s="39" t="s">
        <v>136</v>
      </c>
      <c r="E5" s="39" t="s">
        <v>135</v>
      </c>
      <c r="F5" s="43" t="s">
        <v>214</v>
      </c>
      <c r="G5" s="44">
        <v>0</v>
      </c>
      <c r="H5" s="45">
        <v>6.7469999999999999</v>
      </c>
      <c r="I5" s="45">
        <f t="shared" ref="I5:I69" si="1">H5*0.0925</f>
        <v>0.62409749999999997</v>
      </c>
      <c r="J5" s="45">
        <v>1.17</v>
      </c>
      <c r="K5" s="45">
        <f t="shared" ref="K5:K67" si="2">H5-I5-J5</f>
        <v>4.9529025000000004</v>
      </c>
      <c r="L5" s="44">
        <v>0</v>
      </c>
      <c r="M5" s="45">
        <f t="shared" ref="M5:M69" si="3">(N5+O5)*L5</f>
        <v>0</v>
      </c>
      <c r="N5" s="45">
        <v>5.086468</v>
      </c>
      <c r="O5" s="45">
        <f t="shared" ref="O5:O68" si="4">ROUND(N5*0.0925,6)</f>
        <v>0.47049800000000003</v>
      </c>
      <c r="P5" s="45">
        <f t="shared" ref="P5:P68" si="5">ROUND(O5*L5,6)</f>
        <v>0</v>
      </c>
      <c r="Q5" s="45">
        <v>0.9456</v>
      </c>
      <c r="R5" s="45">
        <f t="shared" ref="R5:R68" si="6">ROUND(L5*Q5,6)</f>
        <v>0</v>
      </c>
      <c r="S5" s="45">
        <f t="shared" si="0"/>
        <v>0</v>
      </c>
      <c r="T5" s="46" t="s">
        <v>142</v>
      </c>
      <c r="U5" s="45">
        <f>IF(T5="S",N5-O5,SMALL((K5,N5),1))</f>
        <v>4.6159699999999999</v>
      </c>
      <c r="V5" s="45">
        <f t="shared" ref="V5:V68" si="7">ROUND(G5*U5,6)</f>
        <v>0</v>
      </c>
      <c r="W5" s="47">
        <v>1</v>
      </c>
      <c r="X5" s="47">
        <v>1</v>
      </c>
      <c r="Y5" s="45">
        <f>IF(T5="S",Q5,SMALL((J5,Q5),1))</f>
        <v>0.9456</v>
      </c>
      <c r="Z5" s="45">
        <f>IF(T5="S",O5,SMALL((I5,O5),1))</f>
        <v>0.47049800000000003</v>
      </c>
      <c r="AA5" s="45">
        <f t="shared" ref="AA5:AA68" si="8">ROUND(((G5*Y5)*W5)+((G5*Z5)*X5),2)</f>
        <v>0</v>
      </c>
      <c r="AB5" s="45">
        <f t="shared" ref="AB5:AB67" si="9">V5+AA5</f>
        <v>0</v>
      </c>
      <c r="AC5" s="89"/>
    </row>
    <row r="6" spans="1:30" ht="19.5" customHeight="1">
      <c r="A6" s="39" t="s">
        <v>17</v>
      </c>
      <c r="B6" s="39" t="s">
        <v>22</v>
      </c>
      <c r="C6" s="39" t="s">
        <v>23</v>
      </c>
      <c r="D6" s="39" t="s">
        <v>136</v>
      </c>
      <c r="E6" s="39" t="s">
        <v>135</v>
      </c>
      <c r="F6" s="43" t="s">
        <v>214</v>
      </c>
      <c r="G6" s="44">
        <v>453</v>
      </c>
      <c r="H6" s="45">
        <v>6.7469999999999999</v>
      </c>
      <c r="I6" s="45">
        <f t="shared" si="1"/>
        <v>0.62409749999999997</v>
      </c>
      <c r="J6" s="45">
        <v>1.17</v>
      </c>
      <c r="K6" s="45">
        <f t="shared" si="2"/>
        <v>4.9529025000000004</v>
      </c>
      <c r="L6" s="44">
        <v>0</v>
      </c>
      <c r="M6" s="45">
        <f t="shared" si="3"/>
        <v>0</v>
      </c>
      <c r="N6" s="45">
        <v>5.0492330000000001</v>
      </c>
      <c r="O6" s="45">
        <f t="shared" si="4"/>
        <v>0.46705400000000002</v>
      </c>
      <c r="P6" s="45">
        <f t="shared" si="5"/>
        <v>0</v>
      </c>
      <c r="Q6" s="45">
        <v>1.1200000000000001</v>
      </c>
      <c r="R6" s="45">
        <f t="shared" si="6"/>
        <v>0</v>
      </c>
      <c r="S6" s="45">
        <f t="shared" si="0"/>
        <v>0</v>
      </c>
      <c r="T6" s="46" t="s">
        <v>142</v>
      </c>
      <c r="U6" s="45">
        <f>IF(T6="S",N6-O6,SMALL((K6,N6),1))</f>
        <v>4.582179</v>
      </c>
      <c r="V6" s="45">
        <f t="shared" si="7"/>
        <v>2075.7270870000002</v>
      </c>
      <c r="W6" s="47">
        <v>1</v>
      </c>
      <c r="X6" s="47">
        <v>1</v>
      </c>
      <c r="Y6" s="45">
        <f>IF(T6="S",Q6,SMALL((J6,Q6),1))</f>
        <v>1.1200000000000001</v>
      </c>
      <c r="Z6" s="45">
        <f>IF(T6="S",O6,SMALL((I6,O6),1))</f>
        <v>0.46705400000000002</v>
      </c>
      <c r="AA6" s="45">
        <f t="shared" si="8"/>
        <v>718.94</v>
      </c>
      <c r="AB6" s="45">
        <f t="shared" si="9"/>
        <v>2794.6670870000003</v>
      </c>
      <c r="AC6" s="89"/>
    </row>
    <row r="7" spans="1:30" ht="19.5" customHeight="1">
      <c r="A7" s="39" t="s">
        <v>17</v>
      </c>
      <c r="B7" s="39" t="s">
        <v>24</v>
      </c>
      <c r="C7" s="39" t="s">
        <v>25</v>
      </c>
      <c r="D7" s="39" t="s">
        <v>136</v>
      </c>
      <c r="E7" s="39" t="s">
        <v>135</v>
      </c>
      <c r="F7" s="43" t="s">
        <v>214</v>
      </c>
      <c r="G7" s="44">
        <v>4180</v>
      </c>
      <c r="H7" s="45">
        <v>6.7469999999999999</v>
      </c>
      <c r="I7" s="45">
        <f t="shared" si="1"/>
        <v>0.62409749999999997</v>
      </c>
      <c r="J7" s="45">
        <v>1.17</v>
      </c>
      <c r="K7" s="45">
        <f t="shared" si="2"/>
        <v>4.9529025000000004</v>
      </c>
      <c r="L7" s="44">
        <v>0</v>
      </c>
      <c r="M7" s="45">
        <f t="shared" si="3"/>
        <v>0</v>
      </c>
      <c r="N7" s="45">
        <v>5.0492330000000001</v>
      </c>
      <c r="O7" s="45">
        <f t="shared" si="4"/>
        <v>0.46705400000000002</v>
      </c>
      <c r="P7" s="45">
        <f t="shared" si="5"/>
        <v>0</v>
      </c>
      <c r="Q7" s="45">
        <v>1.1200000000000001</v>
      </c>
      <c r="R7" s="45">
        <f t="shared" si="6"/>
        <v>0</v>
      </c>
      <c r="S7" s="45">
        <f t="shared" si="0"/>
        <v>0</v>
      </c>
      <c r="T7" s="46" t="s">
        <v>142</v>
      </c>
      <c r="U7" s="45">
        <f>IF(T7="S",N7-O7,SMALL((K7,N7),1))</f>
        <v>4.582179</v>
      </c>
      <c r="V7" s="45">
        <f t="shared" si="7"/>
        <v>19153.50822</v>
      </c>
      <c r="W7" s="47">
        <v>1</v>
      </c>
      <c r="X7" s="47">
        <v>1</v>
      </c>
      <c r="Y7" s="45">
        <f>IF(T7="S",Q7,SMALL((J7,Q7),1))</f>
        <v>1.1200000000000001</v>
      </c>
      <c r="Z7" s="45">
        <f>IF(T7="S",O7,SMALL((I7,O7),1))</f>
        <v>0.46705400000000002</v>
      </c>
      <c r="AA7" s="45">
        <f t="shared" si="8"/>
        <v>6633.89</v>
      </c>
      <c r="AB7" s="45">
        <f t="shared" si="9"/>
        <v>25787.398219999999</v>
      </c>
      <c r="AC7" s="89"/>
    </row>
    <row r="8" spans="1:30" ht="19.5" customHeight="1">
      <c r="A8" s="39" t="s">
        <v>17</v>
      </c>
      <c r="B8" s="39" t="s">
        <v>26</v>
      </c>
      <c r="C8" s="39" t="s">
        <v>27</v>
      </c>
      <c r="D8" s="39" t="s">
        <v>134</v>
      </c>
      <c r="E8" s="39" t="s">
        <v>135</v>
      </c>
      <c r="F8" s="43" t="s">
        <v>214</v>
      </c>
      <c r="G8" s="44">
        <v>0</v>
      </c>
      <c r="H8" s="45">
        <v>6.7469999999999999</v>
      </c>
      <c r="I8" s="45">
        <f t="shared" si="1"/>
        <v>0.62409749999999997</v>
      </c>
      <c r="J8" s="45">
        <v>1.17</v>
      </c>
      <c r="K8" s="45">
        <f t="shared" si="2"/>
        <v>4.9529025000000004</v>
      </c>
      <c r="L8" s="44">
        <v>0</v>
      </c>
      <c r="M8" s="45">
        <f t="shared" si="3"/>
        <v>0</v>
      </c>
      <c r="N8" s="45">
        <v>0</v>
      </c>
      <c r="O8" s="45">
        <f t="shared" si="4"/>
        <v>0</v>
      </c>
      <c r="P8" s="45">
        <f t="shared" si="5"/>
        <v>0</v>
      </c>
      <c r="Q8" s="45">
        <v>0</v>
      </c>
      <c r="R8" s="45">
        <f t="shared" si="6"/>
        <v>0</v>
      </c>
      <c r="S8" s="45">
        <f t="shared" si="0"/>
        <v>0</v>
      </c>
      <c r="T8" s="46" t="s">
        <v>142</v>
      </c>
      <c r="U8" s="45">
        <f>IF(T8="S",N8-O8,SMALL((K8,N8),1))</f>
        <v>0</v>
      </c>
      <c r="V8" s="45">
        <f t="shared" si="7"/>
        <v>0</v>
      </c>
      <c r="W8" s="47">
        <v>1</v>
      </c>
      <c r="X8" s="47">
        <v>1</v>
      </c>
      <c r="Y8" s="45">
        <f>IF(T8="S",Q8,SMALL((J8,Q8),1))</f>
        <v>0</v>
      </c>
      <c r="Z8" s="45">
        <f>IF(T8="S",O8,SMALL((I8,O8),1))</f>
        <v>0</v>
      </c>
      <c r="AA8" s="45">
        <f t="shared" si="8"/>
        <v>0</v>
      </c>
      <c r="AB8" s="45">
        <f t="shared" si="9"/>
        <v>0</v>
      </c>
      <c r="AC8" s="89"/>
    </row>
    <row r="9" spans="1:30" ht="19.5" customHeight="1">
      <c r="A9" s="39" t="s">
        <v>17</v>
      </c>
      <c r="B9" s="39" t="s">
        <v>146</v>
      </c>
      <c r="C9" s="39" t="s">
        <v>147</v>
      </c>
      <c r="D9" s="39" t="s">
        <v>137</v>
      </c>
      <c r="E9" s="39" t="s">
        <v>135</v>
      </c>
      <c r="F9" s="43" t="s">
        <v>214</v>
      </c>
      <c r="G9" s="44">
        <v>0</v>
      </c>
      <c r="H9" s="45">
        <v>6.7469999999999999</v>
      </c>
      <c r="I9" s="45">
        <f t="shared" si="1"/>
        <v>0.62409749999999997</v>
      </c>
      <c r="J9" s="45">
        <v>1.17</v>
      </c>
      <c r="K9" s="45">
        <f t="shared" ref="K9" si="10">H9-I9-J9</f>
        <v>4.9529025000000004</v>
      </c>
      <c r="L9" s="44">
        <v>0</v>
      </c>
      <c r="M9" s="45">
        <f t="shared" si="3"/>
        <v>0</v>
      </c>
      <c r="N9" s="45">
        <v>0</v>
      </c>
      <c r="O9" s="45">
        <f t="shared" si="4"/>
        <v>0</v>
      </c>
      <c r="P9" s="45">
        <f t="shared" si="5"/>
        <v>0</v>
      </c>
      <c r="Q9" s="45">
        <v>0</v>
      </c>
      <c r="R9" s="45">
        <f t="shared" si="6"/>
        <v>0</v>
      </c>
      <c r="S9" s="45">
        <f t="shared" si="0"/>
        <v>0</v>
      </c>
      <c r="T9" s="46" t="s">
        <v>142</v>
      </c>
      <c r="U9" s="45">
        <f>IF(T9="S",N9-O9,SMALL((K9,N9),1))</f>
        <v>0</v>
      </c>
      <c r="V9" s="45">
        <f t="shared" si="7"/>
        <v>0</v>
      </c>
      <c r="W9" s="47">
        <v>1</v>
      </c>
      <c r="X9" s="47">
        <v>1</v>
      </c>
      <c r="Y9" s="45">
        <f>IF(T9="S",Q9,SMALL((J9,Q9),1))</f>
        <v>0</v>
      </c>
      <c r="Z9" s="45">
        <f>IF(T9="S",O9,SMALL((I9,O9),1))</f>
        <v>0</v>
      </c>
      <c r="AA9" s="45">
        <f t="shared" si="8"/>
        <v>0</v>
      </c>
      <c r="AB9" s="45">
        <f t="shared" ref="AB9" si="11">V9+AA9</f>
        <v>0</v>
      </c>
      <c r="AC9" s="89"/>
    </row>
    <row r="10" spans="1:30" ht="19.5" customHeight="1">
      <c r="A10" s="39" t="s">
        <v>17</v>
      </c>
      <c r="B10" s="39" t="s">
        <v>28</v>
      </c>
      <c r="C10" s="39" t="s">
        <v>29</v>
      </c>
      <c r="D10" s="39" t="s">
        <v>137</v>
      </c>
      <c r="E10" s="39" t="s">
        <v>135</v>
      </c>
      <c r="F10" s="43" t="s">
        <v>214</v>
      </c>
      <c r="G10" s="44">
        <v>0</v>
      </c>
      <c r="H10" s="45">
        <v>6.7469999999999999</v>
      </c>
      <c r="I10" s="45">
        <f t="shared" si="1"/>
        <v>0.62409749999999997</v>
      </c>
      <c r="J10" s="45">
        <v>1.17</v>
      </c>
      <c r="K10" s="45">
        <f t="shared" si="2"/>
        <v>4.9529025000000004</v>
      </c>
      <c r="L10" s="44">
        <v>0</v>
      </c>
      <c r="M10" s="45">
        <f t="shared" si="3"/>
        <v>0</v>
      </c>
      <c r="N10" s="45">
        <v>4.8995290000000002</v>
      </c>
      <c r="O10" s="45">
        <f t="shared" si="4"/>
        <v>0.453206</v>
      </c>
      <c r="P10" s="45">
        <f t="shared" si="5"/>
        <v>0</v>
      </c>
      <c r="Q10" s="45">
        <v>1.2248822222219999</v>
      </c>
      <c r="R10" s="45">
        <f t="shared" si="6"/>
        <v>0</v>
      </c>
      <c r="S10" s="45">
        <f t="shared" si="0"/>
        <v>0</v>
      </c>
      <c r="T10" s="46" t="s">
        <v>142</v>
      </c>
      <c r="U10" s="45">
        <f>IF(T10="S",N10-O10,SMALL((K10,N10),1))</f>
        <v>4.4463230000000005</v>
      </c>
      <c r="V10" s="45">
        <f t="shared" si="7"/>
        <v>0</v>
      </c>
      <c r="W10" s="47">
        <v>1</v>
      </c>
      <c r="X10" s="47">
        <v>1</v>
      </c>
      <c r="Y10" s="45">
        <f>IF(T10="S",Q10,SMALL((J10,Q10),1))</f>
        <v>1.2248822222219999</v>
      </c>
      <c r="Z10" s="45">
        <f>IF(T10="S",O10,SMALL((I10,O10),1))</f>
        <v>0.453206</v>
      </c>
      <c r="AA10" s="45">
        <f t="shared" si="8"/>
        <v>0</v>
      </c>
      <c r="AB10" s="45">
        <f t="shared" si="9"/>
        <v>0</v>
      </c>
      <c r="AC10" s="89"/>
    </row>
    <row r="11" spans="1:30" ht="19.5" customHeight="1">
      <c r="A11" s="39" t="s">
        <v>17</v>
      </c>
      <c r="B11" s="39" t="s">
        <v>30</v>
      </c>
      <c r="C11" s="39" t="s">
        <v>31</v>
      </c>
      <c r="D11" s="39" t="s">
        <v>136</v>
      </c>
      <c r="E11" s="39" t="s">
        <v>135</v>
      </c>
      <c r="F11" s="43" t="s">
        <v>214</v>
      </c>
      <c r="G11" s="44">
        <v>551</v>
      </c>
      <c r="H11" s="45">
        <v>6.7469999999999999</v>
      </c>
      <c r="I11" s="45">
        <f t="shared" si="1"/>
        <v>0.62409749999999997</v>
      </c>
      <c r="J11" s="45">
        <v>1.17</v>
      </c>
      <c r="K11" s="45">
        <f t="shared" si="2"/>
        <v>4.9529025000000004</v>
      </c>
      <c r="L11" s="44">
        <v>0</v>
      </c>
      <c r="M11" s="45">
        <f t="shared" si="3"/>
        <v>0</v>
      </c>
      <c r="N11" s="45">
        <v>5.0492330000000001</v>
      </c>
      <c r="O11" s="45">
        <f t="shared" si="4"/>
        <v>0.46705400000000002</v>
      </c>
      <c r="P11" s="45">
        <f t="shared" si="5"/>
        <v>0</v>
      </c>
      <c r="Q11" s="45">
        <v>1.1200000000000001</v>
      </c>
      <c r="R11" s="45">
        <f t="shared" si="6"/>
        <v>0</v>
      </c>
      <c r="S11" s="45">
        <f t="shared" si="0"/>
        <v>0</v>
      </c>
      <c r="T11" s="46" t="s">
        <v>142</v>
      </c>
      <c r="U11" s="45">
        <f>IF(T11="S",N11-O11,SMALL((K11,N11),1))</f>
        <v>4.582179</v>
      </c>
      <c r="V11" s="45">
        <f t="shared" si="7"/>
        <v>2524.7806289999999</v>
      </c>
      <c r="W11" s="47">
        <v>1</v>
      </c>
      <c r="X11" s="47">
        <v>1</v>
      </c>
      <c r="Y11" s="45">
        <f>IF(T11="S",Q11,SMALL((J11,Q11),1))</f>
        <v>1.1200000000000001</v>
      </c>
      <c r="Z11" s="45">
        <f>IF(T11="S",O11,SMALL((I11,O11),1))</f>
        <v>0.46705400000000002</v>
      </c>
      <c r="AA11" s="45">
        <f t="shared" si="8"/>
        <v>874.47</v>
      </c>
      <c r="AB11" s="45">
        <f t="shared" si="9"/>
        <v>3399.2506290000001</v>
      </c>
      <c r="AC11" s="89"/>
    </row>
    <row r="12" spans="1:30" ht="19.5" customHeight="1">
      <c r="A12" s="39" t="s">
        <v>17</v>
      </c>
      <c r="B12" s="39" t="s">
        <v>32</v>
      </c>
      <c r="C12" s="39" t="s">
        <v>33</v>
      </c>
      <c r="D12" s="39" t="s">
        <v>134</v>
      </c>
      <c r="E12" s="39" t="s">
        <v>135</v>
      </c>
      <c r="F12" s="43" t="s">
        <v>214</v>
      </c>
      <c r="G12" s="44">
        <v>0</v>
      </c>
      <c r="H12" s="45">
        <v>6.7469999999999999</v>
      </c>
      <c r="I12" s="45">
        <f t="shared" si="1"/>
        <v>0.62409749999999997</v>
      </c>
      <c r="J12" s="45">
        <v>1.17</v>
      </c>
      <c r="K12" s="45">
        <f t="shared" si="2"/>
        <v>4.9529025000000004</v>
      </c>
      <c r="L12" s="44">
        <v>0</v>
      </c>
      <c r="M12" s="45">
        <f t="shared" si="3"/>
        <v>0</v>
      </c>
      <c r="N12" s="45">
        <v>4.1288220000000004</v>
      </c>
      <c r="O12" s="45">
        <f t="shared" si="4"/>
        <v>0.38191599999999998</v>
      </c>
      <c r="P12" s="45">
        <f t="shared" si="5"/>
        <v>0</v>
      </c>
      <c r="Q12" s="45">
        <v>0.9456</v>
      </c>
      <c r="R12" s="45">
        <f t="shared" si="6"/>
        <v>0</v>
      </c>
      <c r="S12" s="45">
        <f t="shared" si="0"/>
        <v>0</v>
      </c>
      <c r="T12" s="46" t="s">
        <v>142</v>
      </c>
      <c r="U12" s="45">
        <f>IF(T12="S",N12-O12,SMALL((K12,N12),1))</f>
        <v>3.7469060000000005</v>
      </c>
      <c r="V12" s="45">
        <f t="shared" si="7"/>
        <v>0</v>
      </c>
      <c r="W12" s="47">
        <v>1</v>
      </c>
      <c r="X12" s="47">
        <v>1</v>
      </c>
      <c r="Y12" s="45">
        <f>IF(T12="S",Q12,SMALL((J12,Q12),1))</f>
        <v>0.9456</v>
      </c>
      <c r="Z12" s="45">
        <f>IF(T12="S",O12,SMALL((I12,O12),1))</f>
        <v>0.38191599999999998</v>
      </c>
      <c r="AA12" s="45">
        <f t="shared" si="8"/>
        <v>0</v>
      </c>
      <c r="AB12" s="45">
        <f t="shared" si="9"/>
        <v>0</v>
      </c>
      <c r="AC12" s="89"/>
    </row>
    <row r="13" spans="1:30" ht="19.5" customHeight="1">
      <c r="A13" s="39" t="s">
        <v>17</v>
      </c>
      <c r="B13" s="39" t="s">
        <v>34</v>
      </c>
      <c r="C13" s="39" t="s">
        <v>35</v>
      </c>
      <c r="D13" s="39" t="s">
        <v>136</v>
      </c>
      <c r="E13" s="39" t="s">
        <v>135</v>
      </c>
      <c r="F13" s="43" t="s">
        <v>214</v>
      </c>
      <c r="G13" s="44">
        <v>0</v>
      </c>
      <c r="H13" s="45">
        <v>6.7469999999999999</v>
      </c>
      <c r="I13" s="45">
        <f t="shared" si="1"/>
        <v>0.62409749999999997</v>
      </c>
      <c r="J13" s="45">
        <v>1.17</v>
      </c>
      <c r="K13" s="45">
        <f t="shared" si="2"/>
        <v>4.9529025000000004</v>
      </c>
      <c r="L13" s="44">
        <v>0</v>
      </c>
      <c r="M13" s="45">
        <f t="shared" si="3"/>
        <v>0</v>
      </c>
      <c r="N13" s="45">
        <v>5.1681929999999996</v>
      </c>
      <c r="O13" s="45">
        <f t="shared" si="4"/>
        <v>0.47805799999999998</v>
      </c>
      <c r="P13" s="45">
        <f t="shared" si="5"/>
        <v>0</v>
      </c>
      <c r="Q13" s="45">
        <v>1.1200000000000001</v>
      </c>
      <c r="R13" s="45">
        <f t="shared" si="6"/>
        <v>0</v>
      </c>
      <c r="S13" s="45">
        <f t="shared" si="0"/>
        <v>0</v>
      </c>
      <c r="T13" s="46" t="s">
        <v>142</v>
      </c>
      <c r="U13" s="45">
        <f>IF(T13="S",N13-O13,SMALL((K13,N13),1))</f>
        <v>4.6901349999999997</v>
      </c>
      <c r="V13" s="45">
        <f t="shared" si="7"/>
        <v>0</v>
      </c>
      <c r="W13" s="47">
        <v>1</v>
      </c>
      <c r="X13" s="47">
        <v>1</v>
      </c>
      <c r="Y13" s="45">
        <f>IF(T13="S",Q13,SMALL((J13,Q13),1))</f>
        <v>1.1200000000000001</v>
      </c>
      <c r="Z13" s="45">
        <f>IF(T13="S",O13,SMALL((I13,O13),1))</f>
        <v>0.47805799999999998</v>
      </c>
      <c r="AA13" s="45">
        <f t="shared" si="8"/>
        <v>0</v>
      </c>
      <c r="AB13" s="45">
        <f t="shared" si="9"/>
        <v>0</v>
      </c>
      <c r="AC13" s="89"/>
    </row>
    <row r="14" spans="1:30" ht="19.5" customHeight="1">
      <c r="A14" s="39" t="s">
        <v>17</v>
      </c>
      <c r="B14" s="39" t="s">
        <v>159</v>
      </c>
      <c r="C14" s="39" t="s">
        <v>160</v>
      </c>
      <c r="D14" s="39" t="s">
        <v>136</v>
      </c>
      <c r="E14" s="39" t="s">
        <v>135</v>
      </c>
      <c r="F14" s="43" t="s">
        <v>214</v>
      </c>
      <c r="G14" s="44">
        <v>175</v>
      </c>
      <c r="H14" s="45">
        <v>6.7469999999999999</v>
      </c>
      <c r="I14" s="45">
        <f t="shared" si="1"/>
        <v>0.62409749999999997</v>
      </c>
      <c r="J14" s="45">
        <v>1.17</v>
      </c>
      <c r="K14" s="45">
        <f t="shared" ref="K14" si="12">H14-I14-J14</f>
        <v>4.9529025000000004</v>
      </c>
      <c r="L14" s="44">
        <v>0</v>
      </c>
      <c r="M14" s="45">
        <f t="shared" si="3"/>
        <v>0</v>
      </c>
      <c r="N14" s="45">
        <v>5.0492330000000001</v>
      </c>
      <c r="O14" s="45">
        <f t="shared" si="4"/>
        <v>0.46705400000000002</v>
      </c>
      <c r="P14" s="45">
        <f t="shared" si="5"/>
        <v>0</v>
      </c>
      <c r="Q14" s="45">
        <v>1.1200000000000001</v>
      </c>
      <c r="R14" s="45">
        <f t="shared" si="6"/>
        <v>0</v>
      </c>
      <c r="S14" s="45">
        <f t="shared" si="0"/>
        <v>0</v>
      </c>
      <c r="T14" s="46" t="s">
        <v>142</v>
      </c>
      <c r="U14" s="45">
        <f>IF(T14="S",N14-O14,SMALL((K14,N14),1))</f>
        <v>4.582179</v>
      </c>
      <c r="V14" s="45">
        <f t="shared" si="7"/>
        <v>801.88132499999995</v>
      </c>
      <c r="W14" s="47">
        <v>1</v>
      </c>
      <c r="X14" s="47">
        <v>1</v>
      </c>
      <c r="Y14" s="45">
        <f>IF(T14="S",Q14,SMALL((J14,Q14),1))</f>
        <v>1.1200000000000001</v>
      </c>
      <c r="Z14" s="45">
        <f>IF(T14="S",O14,SMALL((I14,O14),1))</f>
        <v>0.46705400000000002</v>
      </c>
      <c r="AA14" s="45">
        <f t="shared" si="8"/>
        <v>277.73</v>
      </c>
      <c r="AB14" s="45">
        <f t="shared" ref="AB14" si="13">V14+AA14</f>
        <v>1079.6113249999999</v>
      </c>
      <c r="AC14" s="89"/>
    </row>
    <row r="15" spans="1:30" ht="19.5" customHeight="1">
      <c r="A15" s="39" t="s">
        <v>17</v>
      </c>
      <c r="B15" s="39" t="s">
        <v>36</v>
      </c>
      <c r="C15" s="39" t="s">
        <v>37</v>
      </c>
      <c r="D15" s="39" t="s">
        <v>134</v>
      </c>
      <c r="E15" s="39" t="s">
        <v>135</v>
      </c>
      <c r="F15" s="43" t="s">
        <v>214</v>
      </c>
      <c r="G15" s="44">
        <v>0</v>
      </c>
      <c r="H15" s="45">
        <v>6.7469999999999999</v>
      </c>
      <c r="I15" s="45">
        <f t="shared" si="1"/>
        <v>0.62409749999999997</v>
      </c>
      <c r="J15" s="45">
        <v>1.17</v>
      </c>
      <c r="K15" s="45">
        <f t="shared" si="2"/>
        <v>4.9529025000000004</v>
      </c>
      <c r="L15" s="44">
        <v>0</v>
      </c>
      <c r="M15" s="45">
        <f t="shared" si="3"/>
        <v>0</v>
      </c>
      <c r="N15" s="45">
        <v>0</v>
      </c>
      <c r="O15" s="45">
        <f t="shared" si="4"/>
        <v>0</v>
      </c>
      <c r="P15" s="45">
        <f t="shared" si="5"/>
        <v>0</v>
      </c>
      <c r="Q15" s="45">
        <v>0</v>
      </c>
      <c r="R15" s="45">
        <f t="shared" si="6"/>
        <v>0</v>
      </c>
      <c r="S15" s="45">
        <f t="shared" si="0"/>
        <v>0</v>
      </c>
      <c r="T15" s="46" t="s">
        <v>142</v>
      </c>
      <c r="U15" s="45">
        <f>IF(T15="S",N15-O15,SMALL((K15,N15),1))</f>
        <v>0</v>
      </c>
      <c r="V15" s="45">
        <f t="shared" si="7"/>
        <v>0</v>
      </c>
      <c r="W15" s="47">
        <v>1</v>
      </c>
      <c r="X15" s="47">
        <v>1</v>
      </c>
      <c r="Y15" s="45">
        <f>IF(T15="S",Q15,SMALL((J15,Q15),1))</f>
        <v>0</v>
      </c>
      <c r="Z15" s="45">
        <f>IF(T15="S",O15,SMALL((I15,O15),1))</f>
        <v>0</v>
      </c>
      <c r="AA15" s="45">
        <f t="shared" si="8"/>
        <v>0</v>
      </c>
      <c r="AB15" s="45">
        <f t="shared" si="9"/>
        <v>0</v>
      </c>
      <c r="AC15" s="89"/>
    </row>
    <row r="16" spans="1:30" ht="19.5" customHeight="1">
      <c r="A16" s="39" t="s">
        <v>17</v>
      </c>
      <c r="B16" s="39" t="s">
        <v>38</v>
      </c>
      <c r="C16" s="39" t="s">
        <v>39</v>
      </c>
      <c r="D16" s="39" t="s">
        <v>138</v>
      </c>
      <c r="E16" s="39" t="s">
        <v>135</v>
      </c>
      <c r="F16" s="43" t="s">
        <v>214</v>
      </c>
      <c r="G16" s="44">
        <v>0</v>
      </c>
      <c r="H16" s="45">
        <v>6.7469999999999999</v>
      </c>
      <c r="I16" s="45">
        <f t="shared" si="1"/>
        <v>0.62409749999999997</v>
      </c>
      <c r="J16" s="45">
        <v>1.17</v>
      </c>
      <c r="K16" s="45">
        <f t="shared" si="2"/>
        <v>4.9529025000000004</v>
      </c>
      <c r="L16" s="44">
        <v>0</v>
      </c>
      <c r="M16" s="45">
        <f t="shared" si="3"/>
        <v>0</v>
      </c>
      <c r="N16" s="45">
        <v>0</v>
      </c>
      <c r="O16" s="45">
        <f t="shared" si="4"/>
        <v>0</v>
      </c>
      <c r="P16" s="45">
        <f t="shared" si="5"/>
        <v>0</v>
      </c>
      <c r="Q16" s="45">
        <v>0</v>
      </c>
      <c r="R16" s="45">
        <f t="shared" si="6"/>
        <v>0</v>
      </c>
      <c r="S16" s="45">
        <f t="shared" si="0"/>
        <v>0</v>
      </c>
      <c r="T16" s="46" t="s">
        <v>142</v>
      </c>
      <c r="U16" s="45">
        <f>IF(T16="S",N16-O16,SMALL((K16,N16),1))</f>
        <v>0</v>
      </c>
      <c r="V16" s="45">
        <f t="shared" si="7"/>
        <v>0</v>
      </c>
      <c r="W16" s="47">
        <v>1</v>
      </c>
      <c r="X16" s="47">
        <v>1</v>
      </c>
      <c r="Y16" s="45">
        <f>IF(T16="S",Q16,SMALL((J16,Q16),1))</f>
        <v>0</v>
      </c>
      <c r="Z16" s="45">
        <f>IF(T16="S",O16,SMALL((I16,O16),1))</f>
        <v>0</v>
      </c>
      <c r="AA16" s="45">
        <f t="shared" si="8"/>
        <v>0</v>
      </c>
      <c r="AB16" s="45">
        <f t="shared" si="9"/>
        <v>0</v>
      </c>
      <c r="AC16" s="89"/>
    </row>
    <row r="17" spans="1:29" ht="19.5" customHeight="1">
      <c r="A17" s="39" t="s">
        <v>17</v>
      </c>
      <c r="B17" s="39" t="s">
        <v>40</v>
      </c>
      <c r="C17" s="39" t="s">
        <v>41</v>
      </c>
      <c r="D17" s="39" t="s">
        <v>136</v>
      </c>
      <c r="E17" s="39" t="s">
        <v>135</v>
      </c>
      <c r="F17" s="43" t="s">
        <v>214</v>
      </c>
      <c r="G17" s="44">
        <v>0</v>
      </c>
      <c r="H17" s="45">
        <v>6.7469999999999999</v>
      </c>
      <c r="I17" s="45">
        <f t="shared" si="1"/>
        <v>0.62409749999999997</v>
      </c>
      <c r="J17" s="45">
        <v>1.17</v>
      </c>
      <c r="K17" s="45">
        <f t="shared" si="2"/>
        <v>4.9529025000000004</v>
      </c>
      <c r="L17" s="44">
        <v>0</v>
      </c>
      <c r="M17" s="45">
        <f t="shared" si="3"/>
        <v>0</v>
      </c>
      <c r="N17" s="45">
        <v>4.0787329999999997</v>
      </c>
      <c r="O17" s="45">
        <f t="shared" si="4"/>
        <v>0.37728299999999998</v>
      </c>
      <c r="P17" s="45">
        <f t="shared" si="5"/>
        <v>0</v>
      </c>
      <c r="Q17" s="45">
        <v>0.9456</v>
      </c>
      <c r="R17" s="45">
        <f t="shared" si="6"/>
        <v>0</v>
      </c>
      <c r="S17" s="45">
        <f t="shared" si="0"/>
        <v>0</v>
      </c>
      <c r="T17" s="46" t="s">
        <v>142</v>
      </c>
      <c r="U17" s="45">
        <f>IF(T17="S",N17-O17,SMALL((K17,N17),1))</f>
        <v>3.7014499999999999</v>
      </c>
      <c r="V17" s="45">
        <f t="shared" si="7"/>
        <v>0</v>
      </c>
      <c r="W17" s="47">
        <v>1</v>
      </c>
      <c r="X17" s="47">
        <v>1</v>
      </c>
      <c r="Y17" s="45">
        <f>IF(T17="S",Q17,SMALL((J17,Q17),1))</f>
        <v>0.9456</v>
      </c>
      <c r="Z17" s="45">
        <f>IF(T17="S",O17,SMALL((I17,O17),1))</f>
        <v>0.37728299999999998</v>
      </c>
      <c r="AA17" s="45">
        <f t="shared" si="8"/>
        <v>0</v>
      </c>
      <c r="AB17" s="45">
        <f t="shared" si="9"/>
        <v>0</v>
      </c>
      <c r="AC17" s="89"/>
    </row>
    <row r="18" spans="1:29" ht="19.5" customHeight="1">
      <c r="A18" s="39" t="s">
        <v>17</v>
      </c>
      <c r="B18" s="39" t="s">
        <v>42</v>
      </c>
      <c r="C18" s="39" t="s">
        <v>43</v>
      </c>
      <c r="D18" s="39" t="s">
        <v>137</v>
      </c>
      <c r="E18" s="39" t="s">
        <v>135</v>
      </c>
      <c r="F18" s="43" t="s">
        <v>214</v>
      </c>
      <c r="G18" s="44">
        <v>770</v>
      </c>
      <c r="H18" s="45">
        <v>6.7469999999999999</v>
      </c>
      <c r="I18" s="45">
        <f t="shared" si="1"/>
        <v>0.62409749999999997</v>
      </c>
      <c r="J18" s="45">
        <v>1.17</v>
      </c>
      <c r="K18" s="45">
        <f t="shared" si="2"/>
        <v>4.9529025000000004</v>
      </c>
      <c r="L18" s="44">
        <v>0</v>
      </c>
      <c r="M18" s="45">
        <f t="shared" si="3"/>
        <v>0</v>
      </c>
      <c r="N18" s="45">
        <v>5.0492330000000001</v>
      </c>
      <c r="O18" s="45">
        <f t="shared" si="4"/>
        <v>0.46705400000000002</v>
      </c>
      <c r="P18" s="45">
        <f t="shared" si="5"/>
        <v>0</v>
      </c>
      <c r="Q18" s="45">
        <v>1.1200000000000001</v>
      </c>
      <c r="R18" s="45">
        <f t="shared" si="6"/>
        <v>0</v>
      </c>
      <c r="S18" s="45">
        <f t="shared" si="0"/>
        <v>0</v>
      </c>
      <c r="T18" s="46" t="s">
        <v>142</v>
      </c>
      <c r="U18" s="45">
        <f>IF(T18="S",N18-O18,SMALL((K18,N18),1))</f>
        <v>4.582179</v>
      </c>
      <c r="V18" s="45">
        <f t="shared" si="7"/>
        <v>3528.27783</v>
      </c>
      <c r="W18" s="47">
        <v>1</v>
      </c>
      <c r="X18" s="47">
        <v>1</v>
      </c>
      <c r="Y18" s="45">
        <f>IF(T18="S",Q18,SMALL((J18,Q18),1))</f>
        <v>1.1200000000000001</v>
      </c>
      <c r="Z18" s="45">
        <f>IF(T18="S",O18,SMALL((I18,O18),1))</f>
        <v>0.46705400000000002</v>
      </c>
      <c r="AA18" s="45">
        <f t="shared" si="8"/>
        <v>1222.03</v>
      </c>
      <c r="AB18" s="45">
        <f t="shared" si="9"/>
        <v>4750.3078299999997</v>
      </c>
      <c r="AC18" s="89"/>
    </row>
    <row r="19" spans="1:29" ht="19.5" customHeight="1">
      <c r="A19" s="39" t="s">
        <v>17</v>
      </c>
      <c r="B19" s="39" t="s">
        <v>44</v>
      </c>
      <c r="C19" s="39" t="s">
        <v>45</v>
      </c>
      <c r="D19" s="39" t="s">
        <v>134</v>
      </c>
      <c r="E19" s="39" t="s">
        <v>135</v>
      </c>
      <c r="F19" s="43" t="s">
        <v>214</v>
      </c>
      <c r="G19" s="44">
        <v>0</v>
      </c>
      <c r="H19" s="45">
        <v>6.7469999999999999</v>
      </c>
      <c r="I19" s="45">
        <f t="shared" si="1"/>
        <v>0.62409749999999997</v>
      </c>
      <c r="J19" s="45">
        <v>1.17</v>
      </c>
      <c r="K19" s="45">
        <f t="shared" ref="K19" si="14">H19-I19-J19</f>
        <v>4.9529025000000004</v>
      </c>
      <c r="L19" s="44">
        <v>0</v>
      </c>
      <c r="M19" s="45">
        <f t="shared" si="3"/>
        <v>0</v>
      </c>
      <c r="N19" s="45">
        <v>5.0492330000000001</v>
      </c>
      <c r="O19" s="45">
        <f t="shared" si="4"/>
        <v>0.46705400000000002</v>
      </c>
      <c r="P19" s="45">
        <f t="shared" si="5"/>
        <v>0</v>
      </c>
      <c r="Q19" s="45">
        <v>1.1200000000000001</v>
      </c>
      <c r="R19" s="45">
        <f t="shared" si="6"/>
        <v>0</v>
      </c>
      <c r="S19" s="45">
        <f t="shared" si="0"/>
        <v>0</v>
      </c>
      <c r="T19" s="46" t="s">
        <v>142</v>
      </c>
      <c r="U19" s="45">
        <f>IF(T19="S",N19-O19,SMALL((K19,N19),1))</f>
        <v>4.582179</v>
      </c>
      <c r="V19" s="45">
        <f t="shared" si="7"/>
        <v>0</v>
      </c>
      <c r="W19" s="47">
        <v>1</v>
      </c>
      <c r="X19" s="47">
        <v>1</v>
      </c>
      <c r="Y19" s="45">
        <f>IF(T19="S",Q19,SMALL((J19,Q19),1))</f>
        <v>1.1200000000000001</v>
      </c>
      <c r="Z19" s="45">
        <f>IF(T19="S",O19,SMALL((I19,O19),1))</f>
        <v>0.46705400000000002</v>
      </c>
      <c r="AA19" s="45">
        <f t="shared" si="8"/>
        <v>0</v>
      </c>
      <c r="AB19" s="45">
        <f t="shared" ref="AB19" si="15">V19+AA19</f>
        <v>0</v>
      </c>
      <c r="AC19" s="89"/>
    </row>
    <row r="20" spans="1:29" ht="19.5" customHeight="1">
      <c r="A20" s="39" t="s">
        <v>17</v>
      </c>
      <c r="B20" s="39" t="s">
        <v>46</v>
      </c>
      <c r="C20" s="39" t="s">
        <v>47</v>
      </c>
      <c r="D20" s="39" t="s">
        <v>136</v>
      </c>
      <c r="E20" s="39" t="s">
        <v>135</v>
      </c>
      <c r="F20" s="43" t="s">
        <v>214</v>
      </c>
      <c r="G20" s="44">
        <v>0</v>
      </c>
      <c r="H20" s="45">
        <v>6.7469999999999999</v>
      </c>
      <c r="I20" s="45">
        <f t="shared" si="1"/>
        <v>0.62409749999999997</v>
      </c>
      <c r="J20" s="45">
        <v>1.17</v>
      </c>
      <c r="K20" s="45">
        <f t="shared" si="2"/>
        <v>4.9529025000000004</v>
      </c>
      <c r="L20" s="44">
        <v>0</v>
      </c>
      <c r="M20" s="45">
        <f t="shared" si="3"/>
        <v>0</v>
      </c>
      <c r="N20" s="45">
        <v>0</v>
      </c>
      <c r="O20" s="45">
        <f t="shared" si="4"/>
        <v>0</v>
      </c>
      <c r="P20" s="45">
        <f t="shared" si="5"/>
        <v>0</v>
      </c>
      <c r="Q20" s="45">
        <v>0</v>
      </c>
      <c r="R20" s="45">
        <f t="shared" si="6"/>
        <v>0</v>
      </c>
      <c r="S20" s="45">
        <f t="shared" si="0"/>
        <v>0</v>
      </c>
      <c r="T20" s="46" t="s">
        <v>142</v>
      </c>
      <c r="U20" s="45">
        <f>IF(T20="S",N20-O20,SMALL((K20,N20),1))</f>
        <v>0</v>
      </c>
      <c r="V20" s="45">
        <f t="shared" si="7"/>
        <v>0</v>
      </c>
      <c r="W20" s="47">
        <v>1</v>
      </c>
      <c r="X20" s="47">
        <v>1</v>
      </c>
      <c r="Y20" s="45">
        <f>IF(T20="S",Q20,SMALL((J20,Q20),1))</f>
        <v>0</v>
      </c>
      <c r="Z20" s="45">
        <f>IF(T20="S",O20,SMALL((I20,O20),1))</f>
        <v>0</v>
      </c>
      <c r="AA20" s="45">
        <f t="shared" si="8"/>
        <v>0</v>
      </c>
      <c r="AB20" s="45">
        <f t="shared" si="9"/>
        <v>0</v>
      </c>
      <c r="AC20" s="89"/>
    </row>
    <row r="21" spans="1:29" ht="19.5" customHeight="1">
      <c r="A21" s="39" t="s">
        <v>17</v>
      </c>
      <c r="B21" s="39" t="s">
        <v>48</v>
      </c>
      <c r="C21" s="39" t="s">
        <v>49</v>
      </c>
      <c r="D21" s="39" t="s">
        <v>134</v>
      </c>
      <c r="E21" s="39" t="s">
        <v>135</v>
      </c>
      <c r="F21" s="43" t="s">
        <v>214</v>
      </c>
      <c r="G21" s="44">
        <v>0</v>
      </c>
      <c r="H21" s="45">
        <v>6.7469999999999999</v>
      </c>
      <c r="I21" s="45">
        <f t="shared" si="1"/>
        <v>0.62409749999999997</v>
      </c>
      <c r="J21" s="45">
        <v>1.17</v>
      </c>
      <c r="K21" s="45">
        <f t="shared" si="2"/>
        <v>4.9529025000000004</v>
      </c>
      <c r="L21" s="44">
        <v>0</v>
      </c>
      <c r="M21" s="45">
        <f t="shared" si="3"/>
        <v>0</v>
      </c>
      <c r="N21" s="45">
        <v>0</v>
      </c>
      <c r="O21" s="45">
        <f t="shared" si="4"/>
        <v>0</v>
      </c>
      <c r="P21" s="45">
        <f t="shared" si="5"/>
        <v>0</v>
      </c>
      <c r="Q21" s="45">
        <v>0</v>
      </c>
      <c r="R21" s="45">
        <f t="shared" si="6"/>
        <v>0</v>
      </c>
      <c r="S21" s="45">
        <f t="shared" si="0"/>
        <v>0</v>
      </c>
      <c r="T21" s="46" t="s">
        <v>142</v>
      </c>
      <c r="U21" s="45">
        <f>IF(T21="S",N21-O21,SMALL((K21,N21),1))</f>
        <v>0</v>
      </c>
      <c r="V21" s="45">
        <f t="shared" si="7"/>
        <v>0</v>
      </c>
      <c r="W21" s="47">
        <v>1</v>
      </c>
      <c r="X21" s="47">
        <v>1</v>
      </c>
      <c r="Y21" s="45">
        <f>IF(T21="S",Q21,SMALL((J21,Q21),1))</f>
        <v>0</v>
      </c>
      <c r="Z21" s="45">
        <f>IF(T21="S",O21,SMALL((I21,O21),1))</f>
        <v>0</v>
      </c>
      <c r="AA21" s="45">
        <f t="shared" si="8"/>
        <v>0</v>
      </c>
      <c r="AB21" s="45">
        <f t="shared" si="9"/>
        <v>0</v>
      </c>
      <c r="AC21" s="89"/>
    </row>
    <row r="22" spans="1:29" ht="19.5" customHeight="1">
      <c r="A22" s="39" t="s">
        <v>17</v>
      </c>
      <c r="B22" s="39" t="s">
        <v>50</v>
      </c>
      <c r="C22" s="39" t="s">
        <v>51</v>
      </c>
      <c r="D22" s="39" t="s">
        <v>137</v>
      </c>
      <c r="E22" s="39" t="s">
        <v>135</v>
      </c>
      <c r="F22" s="43" t="s">
        <v>214</v>
      </c>
      <c r="G22" s="44">
        <v>0</v>
      </c>
      <c r="H22" s="45">
        <v>6.7469999999999999</v>
      </c>
      <c r="I22" s="45">
        <f t="shared" si="1"/>
        <v>0.62409749999999997</v>
      </c>
      <c r="J22" s="45">
        <v>1.17</v>
      </c>
      <c r="K22" s="45">
        <f t="shared" si="2"/>
        <v>4.9529025000000004</v>
      </c>
      <c r="L22" s="44">
        <v>0</v>
      </c>
      <c r="M22" s="45">
        <f t="shared" si="3"/>
        <v>0</v>
      </c>
      <c r="N22" s="45">
        <v>0</v>
      </c>
      <c r="O22" s="45">
        <f t="shared" si="4"/>
        <v>0</v>
      </c>
      <c r="P22" s="45">
        <f t="shared" si="5"/>
        <v>0</v>
      </c>
      <c r="Q22" s="45">
        <v>0</v>
      </c>
      <c r="R22" s="45">
        <f t="shared" si="6"/>
        <v>0</v>
      </c>
      <c r="S22" s="45">
        <f t="shared" si="0"/>
        <v>0</v>
      </c>
      <c r="T22" s="46" t="s">
        <v>142</v>
      </c>
      <c r="U22" s="45">
        <f>IF(T22="S",N22-O22,SMALL((K22,N22),1))</f>
        <v>0</v>
      </c>
      <c r="V22" s="45">
        <f t="shared" si="7"/>
        <v>0</v>
      </c>
      <c r="W22" s="47">
        <v>1</v>
      </c>
      <c r="X22" s="47">
        <v>1</v>
      </c>
      <c r="Y22" s="45">
        <f>IF(T22="S",Q22,SMALL((J22,Q22),1))</f>
        <v>0</v>
      </c>
      <c r="Z22" s="45">
        <f>IF(T22="S",O22,SMALL((I22,O22),1))</f>
        <v>0</v>
      </c>
      <c r="AA22" s="45">
        <f t="shared" si="8"/>
        <v>0</v>
      </c>
      <c r="AB22" s="45">
        <f t="shared" si="9"/>
        <v>0</v>
      </c>
      <c r="AC22" s="89"/>
    </row>
    <row r="23" spans="1:29" ht="19.5" customHeight="1">
      <c r="A23" s="39" t="s">
        <v>17</v>
      </c>
      <c r="B23" s="39" t="s">
        <v>52</v>
      </c>
      <c r="C23" s="39" t="s">
        <v>53</v>
      </c>
      <c r="D23" s="39" t="s">
        <v>137</v>
      </c>
      <c r="E23" s="39" t="s">
        <v>135</v>
      </c>
      <c r="F23" s="43" t="s">
        <v>214</v>
      </c>
      <c r="G23" s="44">
        <v>0</v>
      </c>
      <c r="H23" s="45">
        <v>6.7469999999999999</v>
      </c>
      <c r="I23" s="45">
        <f t="shared" si="1"/>
        <v>0.62409749999999997</v>
      </c>
      <c r="J23" s="45">
        <v>1.17</v>
      </c>
      <c r="K23" s="45">
        <f t="shared" si="2"/>
        <v>4.9529025000000004</v>
      </c>
      <c r="L23" s="44">
        <v>0</v>
      </c>
      <c r="M23" s="45">
        <f t="shared" si="3"/>
        <v>0</v>
      </c>
      <c r="N23" s="45">
        <v>0</v>
      </c>
      <c r="O23" s="45">
        <f t="shared" si="4"/>
        <v>0</v>
      </c>
      <c r="P23" s="45">
        <f t="shared" si="5"/>
        <v>0</v>
      </c>
      <c r="Q23" s="45">
        <v>0</v>
      </c>
      <c r="R23" s="45">
        <f t="shared" si="6"/>
        <v>0</v>
      </c>
      <c r="S23" s="45">
        <f t="shared" si="0"/>
        <v>0</v>
      </c>
      <c r="T23" s="46" t="s">
        <v>142</v>
      </c>
      <c r="U23" s="45">
        <f>IF(T23="S",N23-O23,SMALL((K23,N23),1))</f>
        <v>0</v>
      </c>
      <c r="V23" s="45">
        <f t="shared" si="7"/>
        <v>0</v>
      </c>
      <c r="W23" s="47">
        <v>1</v>
      </c>
      <c r="X23" s="47">
        <v>1</v>
      </c>
      <c r="Y23" s="45">
        <f>IF(T23="S",Q23,SMALL((J23,Q23),1))</f>
        <v>0</v>
      </c>
      <c r="Z23" s="45">
        <f>IF(T23="S",O23,SMALL((I23,O23),1))</f>
        <v>0</v>
      </c>
      <c r="AA23" s="45">
        <f t="shared" si="8"/>
        <v>0</v>
      </c>
      <c r="AB23" s="45">
        <f t="shared" si="9"/>
        <v>0</v>
      </c>
      <c r="AC23" s="89"/>
    </row>
    <row r="24" spans="1:29" ht="19.5" customHeight="1">
      <c r="A24" s="39" t="s">
        <v>17</v>
      </c>
      <c r="B24" s="39" t="s">
        <v>153</v>
      </c>
      <c r="C24" s="39" t="s">
        <v>154</v>
      </c>
      <c r="D24" s="39" t="s">
        <v>137</v>
      </c>
      <c r="E24" s="39" t="s">
        <v>135</v>
      </c>
      <c r="F24" s="43" t="s">
        <v>214</v>
      </c>
      <c r="G24" s="44">
        <v>0</v>
      </c>
      <c r="H24" s="45">
        <v>6.7469999999999999</v>
      </c>
      <c r="I24" s="45">
        <f t="shared" si="1"/>
        <v>0.62409749999999997</v>
      </c>
      <c r="J24" s="45">
        <v>1.17</v>
      </c>
      <c r="K24" s="45">
        <f t="shared" ref="K24" si="16">H24-I24-J24</f>
        <v>4.9529025000000004</v>
      </c>
      <c r="L24" s="44">
        <v>0</v>
      </c>
      <c r="M24" s="45">
        <f t="shared" si="3"/>
        <v>0</v>
      </c>
      <c r="N24" s="45">
        <v>4.0787329999999997</v>
      </c>
      <c r="O24" s="45">
        <f t="shared" si="4"/>
        <v>0.37728299999999998</v>
      </c>
      <c r="P24" s="45">
        <f t="shared" si="5"/>
        <v>0</v>
      </c>
      <c r="Q24" s="45">
        <v>0.9456</v>
      </c>
      <c r="R24" s="45">
        <f t="shared" si="6"/>
        <v>0</v>
      </c>
      <c r="S24" s="45">
        <f t="shared" si="0"/>
        <v>0</v>
      </c>
      <c r="T24" s="46" t="s">
        <v>142</v>
      </c>
      <c r="U24" s="45">
        <f>IF(T24="S",N24-O24,SMALL((K24,N24),1))</f>
        <v>3.7014499999999999</v>
      </c>
      <c r="V24" s="45">
        <f t="shared" si="7"/>
        <v>0</v>
      </c>
      <c r="W24" s="47">
        <v>1</v>
      </c>
      <c r="X24" s="47">
        <v>1</v>
      </c>
      <c r="Y24" s="45">
        <f>IF(T24="S",Q24,SMALL((J24,Q24),1))</f>
        <v>0.9456</v>
      </c>
      <c r="Z24" s="45">
        <f>IF(T24="S",O24,SMALL((I24,O24),1))</f>
        <v>0.37728299999999998</v>
      </c>
      <c r="AA24" s="45">
        <f t="shared" si="8"/>
        <v>0</v>
      </c>
      <c r="AB24" s="45">
        <f t="shared" ref="AB24" si="17">V24+AA24</f>
        <v>0</v>
      </c>
      <c r="AC24" s="89"/>
    </row>
    <row r="25" spans="1:29" ht="19.5" customHeight="1">
      <c r="A25" s="39" t="s">
        <v>17</v>
      </c>
      <c r="B25" s="39" t="s">
        <v>54</v>
      </c>
      <c r="C25" s="39" t="s">
        <v>55</v>
      </c>
      <c r="D25" s="39" t="s">
        <v>136</v>
      </c>
      <c r="E25" s="39" t="s">
        <v>135</v>
      </c>
      <c r="F25" s="43" t="s">
        <v>214</v>
      </c>
      <c r="G25" s="44">
        <v>2241</v>
      </c>
      <c r="H25" s="45">
        <v>6.7469999999999999</v>
      </c>
      <c r="I25" s="45">
        <f t="shared" si="1"/>
        <v>0.62409749999999997</v>
      </c>
      <c r="J25" s="45">
        <v>1.17</v>
      </c>
      <c r="K25" s="45">
        <f t="shared" si="2"/>
        <v>4.9529025000000004</v>
      </c>
      <c r="L25" s="44">
        <v>0</v>
      </c>
      <c r="M25" s="45">
        <f t="shared" si="3"/>
        <v>0</v>
      </c>
      <c r="N25" s="45">
        <v>5.0492330000000001</v>
      </c>
      <c r="O25" s="45">
        <f t="shared" si="4"/>
        <v>0.46705400000000002</v>
      </c>
      <c r="P25" s="45">
        <f t="shared" si="5"/>
        <v>0</v>
      </c>
      <c r="Q25" s="45">
        <v>1.1200000000000001</v>
      </c>
      <c r="R25" s="45">
        <f t="shared" si="6"/>
        <v>0</v>
      </c>
      <c r="S25" s="45">
        <f t="shared" si="0"/>
        <v>0</v>
      </c>
      <c r="T25" s="46" t="s">
        <v>142</v>
      </c>
      <c r="U25" s="45">
        <f>IF(T25="S",N25-O25,SMALL((K25,N25),1))</f>
        <v>4.582179</v>
      </c>
      <c r="V25" s="45">
        <f t="shared" si="7"/>
        <v>10268.663139</v>
      </c>
      <c r="W25" s="47">
        <v>1</v>
      </c>
      <c r="X25" s="47">
        <v>1</v>
      </c>
      <c r="Y25" s="45">
        <f>IF(T25="S",Q25,SMALL((J25,Q25),1))</f>
        <v>1.1200000000000001</v>
      </c>
      <c r="Z25" s="45">
        <f>IF(T25="S",O25,SMALL((I25,O25),1))</f>
        <v>0.46705400000000002</v>
      </c>
      <c r="AA25" s="45">
        <f t="shared" si="8"/>
        <v>3556.59</v>
      </c>
      <c r="AB25" s="45">
        <f t="shared" si="9"/>
        <v>13825.253139</v>
      </c>
      <c r="AC25" s="89"/>
    </row>
    <row r="26" spans="1:29" ht="19.5" customHeight="1">
      <c r="A26" s="39" t="s">
        <v>17</v>
      </c>
      <c r="B26" s="39" t="s">
        <v>56</v>
      </c>
      <c r="C26" s="39" t="s">
        <v>57</v>
      </c>
      <c r="D26" s="39" t="s">
        <v>134</v>
      </c>
      <c r="E26" s="39" t="s">
        <v>135</v>
      </c>
      <c r="F26" s="43" t="s">
        <v>214</v>
      </c>
      <c r="G26" s="44">
        <v>0</v>
      </c>
      <c r="H26" s="45">
        <v>6.7469999999999999</v>
      </c>
      <c r="I26" s="45">
        <f t="shared" si="1"/>
        <v>0.62409749999999997</v>
      </c>
      <c r="J26" s="45">
        <v>1.17</v>
      </c>
      <c r="K26" s="45">
        <f t="shared" si="2"/>
        <v>4.9529025000000004</v>
      </c>
      <c r="L26" s="44">
        <v>0</v>
      </c>
      <c r="M26" s="45">
        <f t="shared" si="3"/>
        <v>0</v>
      </c>
      <c r="N26" s="45">
        <v>4.1485820000000002</v>
      </c>
      <c r="O26" s="45">
        <f t="shared" si="4"/>
        <v>0.38374399999999997</v>
      </c>
      <c r="P26" s="45">
        <f t="shared" si="5"/>
        <v>0</v>
      </c>
      <c r="Q26" s="45">
        <v>0.9456</v>
      </c>
      <c r="R26" s="45">
        <f t="shared" si="6"/>
        <v>0</v>
      </c>
      <c r="S26" s="45">
        <f t="shared" si="0"/>
        <v>0</v>
      </c>
      <c r="T26" s="46" t="s">
        <v>142</v>
      </c>
      <c r="U26" s="45">
        <f>IF(T26="S",N26-O26,SMALL((K26,N26),1))</f>
        <v>3.7648380000000001</v>
      </c>
      <c r="V26" s="45">
        <f t="shared" si="7"/>
        <v>0</v>
      </c>
      <c r="W26" s="47">
        <v>1</v>
      </c>
      <c r="X26" s="47">
        <v>1</v>
      </c>
      <c r="Y26" s="45">
        <f>IF(T26="S",Q26,SMALL((J26,Q26),1))</f>
        <v>0.9456</v>
      </c>
      <c r="Z26" s="45">
        <f>IF(T26="S",O26,SMALL((I26,O26),1))</f>
        <v>0.38374399999999997</v>
      </c>
      <c r="AA26" s="45">
        <f t="shared" si="8"/>
        <v>0</v>
      </c>
      <c r="AB26" s="45">
        <f t="shared" si="9"/>
        <v>0</v>
      </c>
      <c r="AC26" s="89"/>
    </row>
    <row r="27" spans="1:29" ht="19.5" customHeight="1">
      <c r="A27" s="39" t="s">
        <v>17</v>
      </c>
      <c r="B27" s="39" t="s">
        <v>58</v>
      </c>
      <c r="C27" s="39" t="s">
        <v>59</v>
      </c>
      <c r="D27" s="39" t="s">
        <v>136</v>
      </c>
      <c r="E27" s="39" t="s">
        <v>135</v>
      </c>
      <c r="F27" s="43" t="s">
        <v>214</v>
      </c>
      <c r="G27" s="44">
        <v>819</v>
      </c>
      <c r="H27" s="45">
        <v>6.7469999999999999</v>
      </c>
      <c r="I27" s="45">
        <f t="shared" si="1"/>
        <v>0.62409749999999997</v>
      </c>
      <c r="J27" s="45">
        <v>1.17</v>
      </c>
      <c r="K27" s="45">
        <f t="shared" si="2"/>
        <v>4.9529025000000004</v>
      </c>
      <c r="L27" s="44">
        <v>0</v>
      </c>
      <c r="M27" s="45">
        <f t="shared" si="3"/>
        <v>0</v>
      </c>
      <c r="N27" s="45">
        <v>5.0492330000000001</v>
      </c>
      <c r="O27" s="45">
        <f t="shared" si="4"/>
        <v>0.46705400000000002</v>
      </c>
      <c r="P27" s="45">
        <f t="shared" si="5"/>
        <v>0</v>
      </c>
      <c r="Q27" s="45">
        <v>1.1200000000000001</v>
      </c>
      <c r="R27" s="45">
        <f t="shared" si="6"/>
        <v>0</v>
      </c>
      <c r="S27" s="45">
        <f t="shared" si="0"/>
        <v>0</v>
      </c>
      <c r="T27" s="46" t="s">
        <v>142</v>
      </c>
      <c r="U27" s="45">
        <f>IF(T27="S",N27-O27,SMALL((K27,N27),1))</f>
        <v>4.582179</v>
      </c>
      <c r="V27" s="45">
        <f t="shared" si="7"/>
        <v>3752.8046009999998</v>
      </c>
      <c r="W27" s="47">
        <v>1</v>
      </c>
      <c r="X27" s="47">
        <v>1</v>
      </c>
      <c r="Y27" s="45">
        <f>IF(T27="S",Q27,SMALL((J27,Q27),1))</f>
        <v>1.1200000000000001</v>
      </c>
      <c r="Z27" s="45">
        <f>IF(T27="S",O27,SMALL((I27,O27),1))</f>
        <v>0.46705400000000002</v>
      </c>
      <c r="AA27" s="45">
        <f t="shared" si="8"/>
        <v>1299.8</v>
      </c>
      <c r="AB27" s="45">
        <f t="shared" si="9"/>
        <v>5052.604601</v>
      </c>
      <c r="AC27" s="89"/>
    </row>
    <row r="28" spans="1:29" ht="19.5" customHeight="1">
      <c r="A28" s="39" t="s">
        <v>17</v>
      </c>
      <c r="B28" s="39" t="s">
        <v>60</v>
      </c>
      <c r="C28" s="39" t="s">
        <v>61</v>
      </c>
      <c r="D28" s="39" t="s">
        <v>136</v>
      </c>
      <c r="E28" s="39" t="s">
        <v>135</v>
      </c>
      <c r="F28" s="43" t="s">
        <v>214</v>
      </c>
      <c r="G28" s="44">
        <v>1433</v>
      </c>
      <c r="H28" s="45">
        <v>6.7469999999999999</v>
      </c>
      <c r="I28" s="45">
        <f t="shared" si="1"/>
        <v>0.62409749999999997</v>
      </c>
      <c r="J28" s="45">
        <v>1.17</v>
      </c>
      <c r="K28" s="45">
        <f t="shared" si="2"/>
        <v>4.9529025000000004</v>
      </c>
      <c r="L28" s="44">
        <v>0</v>
      </c>
      <c r="M28" s="45">
        <f t="shared" si="3"/>
        <v>0</v>
      </c>
      <c r="N28" s="45">
        <v>5.0492330000000001</v>
      </c>
      <c r="O28" s="45">
        <f t="shared" si="4"/>
        <v>0.46705400000000002</v>
      </c>
      <c r="P28" s="45">
        <f t="shared" si="5"/>
        <v>0</v>
      </c>
      <c r="Q28" s="45">
        <v>1.1200000000000001</v>
      </c>
      <c r="R28" s="45">
        <f t="shared" si="6"/>
        <v>0</v>
      </c>
      <c r="S28" s="45">
        <f t="shared" si="0"/>
        <v>0</v>
      </c>
      <c r="T28" s="46" t="s">
        <v>142</v>
      </c>
      <c r="U28" s="45">
        <f>IF(T28="S",N28-O28,SMALL((K28,N28),1))</f>
        <v>4.582179</v>
      </c>
      <c r="V28" s="45">
        <f t="shared" si="7"/>
        <v>6566.2625070000004</v>
      </c>
      <c r="W28" s="47">
        <v>1</v>
      </c>
      <c r="X28" s="47">
        <v>1</v>
      </c>
      <c r="Y28" s="45">
        <f>IF(T28="S",Q28,SMALL((J28,Q28),1))</f>
        <v>1.1200000000000001</v>
      </c>
      <c r="Z28" s="45">
        <f>IF(T28="S",O28,SMALL((I28,O28),1))</f>
        <v>0.46705400000000002</v>
      </c>
      <c r="AA28" s="45">
        <f t="shared" si="8"/>
        <v>2274.25</v>
      </c>
      <c r="AB28" s="45">
        <f t="shared" si="9"/>
        <v>8840.5125069999995</v>
      </c>
      <c r="AC28" s="89"/>
    </row>
    <row r="29" spans="1:29" ht="19.5" customHeight="1">
      <c r="A29" s="39" t="s">
        <v>17</v>
      </c>
      <c r="B29" s="39" t="s">
        <v>62</v>
      </c>
      <c r="C29" s="39" t="s">
        <v>63</v>
      </c>
      <c r="D29" s="39" t="s">
        <v>134</v>
      </c>
      <c r="E29" s="39" t="s">
        <v>135</v>
      </c>
      <c r="F29" s="43" t="s">
        <v>214</v>
      </c>
      <c r="G29" s="44">
        <v>0</v>
      </c>
      <c r="H29" s="45">
        <v>6.7469999999999999</v>
      </c>
      <c r="I29" s="45">
        <f t="shared" si="1"/>
        <v>0.62409749999999997</v>
      </c>
      <c r="J29" s="45">
        <v>1.17</v>
      </c>
      <c r="K29" s="45">
        <f t="shared" si="2"/>
        <v>4.9529025000000004</v>
      </c>
      <c r="L29" s="44">
        <v>0</v>
      </c>
      <c r="M29" s="45">
        <f t="shared" si="3"/>
        <v>0</v>
      </c>
      <c r="N29" s="45">
        <v>0</v>
      </c>
      <c r="O29" s="45">
        <f t="shared" si="4"/>
        <v>0</v>
      </c>
      <c r="P29" s="45">
        <f t="shared" si="5"/>
        <v>0</v>
      </c>
      <c r="Q29" s="45">
        <v>0</v>
      </c>
      <c r="R29" s="45">
        <f t="shared" si="6"/>
        <v>0</v>
      </c>
      <c r="S29" s="45">
        <f t="shared" si="0"/>
        <v>0</v>
      </c>
      <c r="T29" s="46" t="s">
        <v>142</v>
      </c>
      <c r="U29" s="45">
        <f>IF(T29="S",N29-O29,SMALL((K29,N29),1))</f>
        <v>0</v>
      </c>
      <c r="V29" s="45">
        <f t="shared" si="7"/>
        <v>0</v>
      </c>
      <c r="W29" s="47">
        <v>1</v>
      </c>
      <c r="X29" s="47">
        <v>1</v>
      </c>
      <c r="Y29" s="45">
        <f>IF(T29="S",Q29,SMALL((J29,Q29),1))</f>
        <v>0</v>
      </c>
      <c r="Z29" s="45">
        <f>IF(T29="S",O29,SMALL((I29,O29),1))</f>
        <v>0</v>
      </c>
      <c r="AA29" s="45">
        <f t="shared" si="8"/>
        <v>0</v>
      </c>
      <c r="AB29" s="45">
        <f t="shared" si="9"/>
        <v>0</v>
      </c>
      <c r="AC29" s="89"/>
    </row>
    <row r="30" spans="1:29" ht="19.5" customHeight="1">
      <c r="A30" s="39" t="s">
        <v>17</v>
      </c>
      <c r="B30" s="39" t="s">
        <v>169</v>
      </c>
      <c r="C30" s="39" t="s">
        <v>170</v>
      </c>
      <c r="D30" s="39" t="s">
        <v>134</v>
      </c>
      <c r="E30" s="39" t="s">
        <v>135</v>
      </c>
      <c r="F30" s="43" t="s">
        <v>214</v>
      </c>
      <c r="G30" s="44">
        <v>0</v>
      </c>
      <c r="H30" s="45">
        <v>6.7469999999999999</v>
      </c>
      <c r="I30" s="45">
        <f t="shared" si="1"/>
        <v>0.62409749999999997</v>
      </c>
      <c r="J30" s="45">
        <v>1.17</v>
      </c>
      <c r="K30" s="45">
        <f t="shared" ref="K30" si="18">H30-I30-J30</f>
        <v>4.9529025000000004</v>
      </c>
      <c r="L30" s="44">
        <v>0</v>
      </c>
      <c r="M30" s="45">
        <f t="shared" si="3"/>
        <v>0</v>
      </c>
      <c r="N30" s="45">
        <v>5.4364169999999996</v>
      </c>
      <c r="O30" s="45">
        <f t="shared" si="4"/>
        <v>0.50286900000000001</v>
      </c>
      <c r="P30" s="45">
        <f t="shared" si="5"/>
        <v>0</v>
      </c>
      <c r="Q30" s="45">
        <v>1.1134830508474576</v>
      </c>
      <c r="R30" s="45">
        <f t="shared" si="6"/>
        <v>0</v>
      </c>
      <c r="S30" s="45">
        <f t="shared" si="0"/>
        <v>0</v>
      </c>
      <c r="T30" s="46" t="s">
        <v>142</v>
      </c>
      <c r="U30" s="45">
        <f>IF(T30="S",N30-O30,SMALL((K30,N30),1))</f>
        <v>4.933548</v>
      </c>
      <c r="V30" s="45">
        <f t="shared" si="7"/>
        <v>0</v>
      </c>
      <c r="W30" s="47">
        <v>1</v>
      </c>
      <c r="X30" s="47">
        <v>1</v>
      </c>
      <c r="Y30" s="45">
        <f>IF(T30="S",Q30,SMALL((J30,Q30),1))</f>
        <v>1.1134830508474576</v>
      </c>
      <c r="Z30" s="45">
        <f>IF(T30="S",O30,SMALL((I30,O30),1))</f>
        <v>0.50286900000000001</v>
      </c>
      <c r="AA30" s="45">
        <f t="shared" si="8"/>
        <v>0</v>
      </c>
      <c r="AB30" s="45">
        <f t="shared" ref="AB30" si="19">V30+AA30</f>
        <v>0</v>
      </c>
      <c r="AC30" s="89"/>
    </row>
    <row r="31" spans="1:29" ht="19.5" customHeight="1">
      <c r="A31" s="39" t="s">
        <v>17</v>
      </c>
      <c r="B31" s="39" t="s">
        <v>155</v>
      </c>
      <c r="C31" s="39" t="s">
        <v>156</v>
      </c>
      <c r="D31" s="39"/>
      <c r="E31" s="39" t="s">
        <v>135</v>
      </c>
      <c r="F31" s="43" t="s">
        <v>214</v>
      </c>
      <c r="G31" s="44">
        <v>0</v>
      </c>
      <c r="H31" s="45">
        <v>6.7469999999999999</v>
      </c>
      <c r="I31" s="45">
        <f t="shared" si="1"/>
        <v>0.62409749999999997</v>
      </c>
      <c r="J31" s="45">
        <v>1.17</v>
      </c>
      <c r="K31" s="45">
        <f t="shared" si="2"/>
        <v>4.9529025000000004</v>
      </c>
      <c r="L31" s="44">
        <v>0</v>
      </c>
      <c r="M31" s="45">
        <f t="shared" si="3"/>
        <v>0</v>
      </c>
      <c r="N31" s="45">
        <v>0</v>
      </c>
      <c r="O31" s="45">
        <f t="shared" si="4"/>
        <v>0</v>
      </c>
      <c r="P31" s="45">
        <f t="shared" si="5"/>
        <v>0</v>
      </c>
      <c r="Q31" s="45">
        <v>0</v>
      </c>
      <c r="R31" s="45">
        <f t="shared" si="6"/>
        <v>0</v>
      </c>
      <c r="S31" s="45">
        <f t="shared" si="0"/>
        <v>0</v>
      </c>
      <c r="T31" s="46" t="s">
        <v>142</v>
      </c>
      <c r="U31" s="45">
        <f>IF(T31="S",N31-O31,SMALL((K31,N31),1))</f>
        <v>0</v>
      </c>
      <c r="V31" s="45">
        <f t="shared" si="7"/>
        <v>0</v>
      </c>
      <c r="W31" s="47">
        <v>1</v>
      </c>
      <c r="X31" s="47">
        <v>1</v>
      </c>
      <c r="Y31" s="45">
        <f>IF(T31="S",Q31,SMALL((J31,Q31),1))</f>
        <v>0</v>
      </c>
      <c r="Z31" s="45">
        <f>IF(T31="S",O31,SMALL((I31,O31),1))</f>
        <v>0</v>
      </c>
      <c r="AA31" s="45">
        <f t="shared" si="8"/>
        <v>0</v>
      </c>
      <c r="AB31" s="45">
        <f t="shared" si="9"/>
        <v>0</v>
      </c>
      <c r="AC31" s="89"/>
    </row>
    <row r="32" spans="1:29" ht="19.5" customHeight="1">
      <c r="A32" s="39" t="s">
        <v>17</v>
      </c>
      <c r="B32" s="39" t="s">
        <v>64</v>
      </c>
      <c r="C32" s="39" t="s">
        <v>65</v>
      </c>
      <c r="D32" s="39" t="s">
        <v>136</v>
      </c>
      <c r="E32" s="39" t="s">
        <v>135</v>
      </c>
      <c r="F32" s="43" t="s">
        <v>214</v>
      </c>
      <c r="G32" s="44">
        <v>0</v>
      </c>
      <c r="H32" s="45">
        <v>6.7469999999999999</v>
      </c>
      <c r="I32" s="45">
        <f t="shared" si="1"/>
        <v>0.62409749999999997</v>
      </c>
      <c r="J32" s="45">
        <v>1.17</v>
      </c>
      <c r="K32" s="45">
        <f t="shared" si="2"/>
        <v>4.9529025000000004</v>
      </c>
      <c r="L32" s="44">
        <v>0</v>
      </c>
      <c r="M32" s="45">
        <f t="shared" si="3"/>
        <v>0</v>
      </c>
      <c r="N32" s="45">
        <v>5.0699509999999997</v>
      </c>
      <c r="O32" s="45">
        <f t="shared" si="4"/>
        <v>0.46897</v>
      </c>
      <c r="P32" s="45">
        <f t="shared" si="5"/>
        <v>0</v>
      </c>
      <c r="Q32" s="45">
        <v>1.038423771186</v>
      </c>
      <c r="R32" s="45">
        <f t="shared" si="6"/>
        <v>0</v>
      </c>
      <c r="S32" s="45">
        <f t="shared" si="0"/>
        <v>0</v>
      </c>
      <c r="T32" s="46" t="s">
        <v>142</v>
      </c>
      <c r="U32" s="45">
        <f>IF(T32="S",N32-O32,SMALL((K32,N32),1))</f>
        <v>4.600981</v>
      </c>
      <c r="V32" s="45">
        <f t="shared" si="7"/>
        <v>0</v>
      </c>
      <c r="W32" s="47">
        <v>1</v>
      </c>
      <c r="X32" s="47">
        <v>1</v>
      </c>
      <c r="Y32" s="45">
        <f>IF(T32="S",Q32,SMALL((J32,Q32),1))</f>
        <v>1.038423771186</v>
      </c>
      <c r="Z32" s="45">
        <f>IF(T32="S",O32,SMALL((I32,O32),1))</f>
        <v>0.46897</v>
      </c>
      <c r="AA32" s="45">
        <f t="shared" si="8"/>
        <v>0</v>
      </c>
      <c r="AB32" s="45">
        <f t="shared" si="9"/>
        <v>0</v>
      </c>
      <c r="AC32" s="89"/>
    </row>
    <row r="33" spans="1:29" ht="19.5" customHeight="1">
      <c r="A33" s="39" t="s">
        <v>17</v>
      </c>
      <c r="B33" s="39" t="s">
        <v>66</v>
      </c>
      <c r="C33" s="39" t="s">
        <v>67</v>
      </c>
      <c r="D33" s="39" t="s">
        <v>137</v>
      </c>
      <c r="E33" s="39" t="s">
        <v>135</v>
      </c>
      <c r="F33" s="43" t="s">
        <v>214</v>
      </c>
      <c r="G33" s="44">
        <v>312</v>
      </c>
      <c r="H33" s="45">
        <v>6.7469999999999999</v>
      </c>
      <c r="I33" s="45">
        <f t="shared" si="1"/>
        <v>0.62409749999999997</v>
      </c>
      <c r="J33" s="45">
        <v>1.17</v>
      </c>
      <c r="K33" s="45">
        <f t="shared" ref="K33" si="20">H33-I33-J33</f>
        <v>4.9529025000000004</v>
      </c>
      <c r="L33" s="44">
        <v>0</v>
      </c>
      <c r="M33" s="45">
        <f t="shared" si="3"/>
        <v>0</v>
      </c>
      <c r="N33" s="45">
        <v>5.0492330000000001</v>
      </c>
      <c r="O33" s="45">
        <f t="shared" si="4"/>
        <v>0.46705400000000002</v>
      </c>
      <c r="P33" s="45">
        <f t="shared" si="5"/>
        <v>0</v>
      </c>
      <c r="Q33" s="45">
        <v>1.1200000000000001</v>
      </c>
      <c r="R33" s="45">
        <f t="shared" si="6"/>
        <v>0</v>
      </c>
      <c r="S33" s="45">
        <f t="shared" si="0"/>
        <v>0</v>
      </c>
      <c r="T33" s="46" t="s">
        <v>142</v>
      </c>
      <c r="U33" s="45">
        <f>IF(T33="S",N33-O33,SMALL((K33,N33),1))</f>
        <v>4.582179</v>
      </c>
      <c r="V33" s="45">
        <f t="shared" si="7"/>
        <v>1429.639848</v>
      </c>
      <c r="W33" s="47">
        <v>1</v>
      </c>
      <c r="X33" s="47">
        <v>1</v>
      </c>
      <c r="Y33" s="45">
        <f>IF(T33="S",Q33,SMALL((J33,Q33),1))</f>
        <v>1.1200000000000001</v>
      </c>
      <c r="Z33" s="45">
        <f>IF(T33="S",O33,SMALL((I33,O33),1))</f>
        <v>0.46705400000000002</v>
      </c>
      <c r="AA33" s="45">
        <f t="shared" si="8"/>
        <v>495.16</v>
      </c>
      <c r="AB33" s="45">
        <f t="shared" ref="AB33" si="21">V33+AA33</f>
        <v>1924.7998480000001</v>
      </c>
      <c r="AC33" s="89"/>
    </row>
    <row r="34" spans="1:29" ht="19.5" customHeight="1">
      <c r="A34" s="39" t="s">
        <v>17</v>
      </c>
      <c r="B34" s="39" t="s">
        <v>68</v>
      </c>
      <c r="C34" s="39" t="s">
        <v>69</v>
      </c>
      <c r="D34" s="39" t="s">
        <v>137</v>
      </c>
      <c r="E34" s="39" t="s">
        <v>135</v>
      </c>
      <c r="F34" s="43" t="s">
        <v>214</v>
      </c>
      <c r="G34" s="44">
        <v>337</v>
      </c>
      <c r="H34" s="45">
        <v>6.7469999999999999</v>
      </c>
      <c r="I34" s="45">
        <f t="shared" si="1"/>
        <v>0.62409749999999997</v>
      </c>
      <c r="J34" s="45">
        <v>1.17</v>
      </c>
      <c r="K34" s="45">
        <f t="shared" si="2"/>
        <v>4.9529025000000004</v>
      </c>
      <c r="L34" s="44">
        <v>0</v>
      </c>
      <c r="M34" s="45">
        <f t="shared" si="3"/>
        <v>0</v>
      </c>
      <c r="N34" s="45">
        <v>5.0492330000000001</v>
      </c>
      <c r="O34" s="45">
        <f t="shared" si="4"/>
        <v>0.46705400000000002</v>
      </c>
      <c r="P34" s="45">
        <f t="shared" si="5"/>
        <v>0</v>
      </c>
      <c r="Q34" s="45">
        <v>1.1200000000000001</v>
      </c>
      <c r="R34" s="45">
        <f t="shared" si="6"/>
        <v>0</v>
      </c>
      <c r="S34" s="45">
        <f t="shared" si="0"/>
        <v>0</v>
      </c>
      <c r="T34" s="46" t="s">
        <v>142</v>
      </c>
      <c r="U34" s="45">
        <f>IF(T34="S",N34-O34,SMALL((K34,N34),1))</f>
        <v>4.582179</v>
      </c>
      <c r="V34" s="45">
        <f t="shared" si="7"/>
        <v>1544.1943229999999</v>
      </c>
      <c r="W34" s="47">
        <v>1</v>
      </c>
      <c r="X34" s="47">
        <v>1</v>
      </c>
      <c r="Y34" s="45">
        <f>IF(T34="S",Q34,SMALL((J34,Q34),1))</f>
        <v>1.1200000000000001</v>
      </c>
      <c r="Z34" s="45">
        <f>IF(T34="S",O34,SMALL((I34,O34),1))</f>
        <v>0.46705400000000002</v>
      </c>
      <c r="AA34" s="45">
        <f t="shared" si="8"/>
        <v>534.84</v>
      </c>
      <c r="AB34" s="45">
        <f t="shared" si="9"/>
        <v>2079.0343229999999</v>
      </c>
      <c r="AC34" s="89"/>
    </row>
    <row r="35" spans="1:29" ht="19.5" customHeight="1">
      <c r="A35" s="39" t="s">
        <v>17</v>
      </c>
      <c r="B35" s="39" t="s">
        <v>70</v>
      </c>
      <c r="C35" s="39" t="s">
        <v>71</v>
      </c>
      <c r="D35" s="39" t="s">
        <v>136</v>
      </c>
      <c r="E35" s="39" t="s">
        <v>135</v>
      </c>
      <c r="F35" s="43" t="s">
        <v>214</v>
      </c>
      <c r="G35" s="44">
        <v>0</v>
      </c>
      <c r="H35" s="45">
        <v>6.7469999999999999</v>
      </c>
      <c r="I35" s="45">
        <f t="shared" si="1"/>
        <v>0.62409749999999997</v>
      </c>
      <c r="J35" s="45">
        <v>1.17</v>
      </c>
      <c r="K35" s="45">
        <f t="shared" si="2"/>
        <v>4.9529025000000004</v>
      </c>
      <c r="L35" s="44">
        <v>0</v>
      </c>
      <c r="M35" s="45">
        <f t="shared" si="3"/>
        <v>0</v>
      </c>
      <c r="N35" s="45">
        <v>5.0389350000000004</v>
      </c>
      <c r="O35" s="45">
        <f t="shared" si="4"/>
        <v>0.46610099999999999</v>
      </c>
      <c r="P35" s="45">
        <f t="shared" si="5"/>
        <v>0</v>
      </c>
      <c r="Q35" s="45">
        <v>1.1200000000000001</v>
      </c>
      <c r="R35" s="45">
        <f t="shared" si="6"/>
        <v>0</v>
      </c>
      <c r="S35" s="45">
        <f t="shared" si="0"/>
        <v>0</v>
      </c>
      <c r="T35" s="46" t="s">
        <v>142</v>
      </c>
      <c r="U35" s="45">
        <f>IF(T35="S",N35-O35,SMALL((K35,N35),1))</f>
        <v>4.5728340000000003</v>
      </c>
      <c r="V35" s="45">
        <f t="shared" si="7"/>
        <v>0</v>
      </c>
      <c r="W35" s="47">
        <v>1</v>
      </c>
      <c r="X35" s="47">
        <v>1</v>
      </c>
      <c r="Y35" s="45">
        <f>IF(T35="S",Q35,SMALL((J35,Q35),1))</f>
        <v>1.1200000000000001</v>
      </c>
      <c r="Z35" s="45">
        <f>IF(T35="S",O35,SMALL((I35,O35),1))</f>
        <v>0.46610099999999999</v>
      </c>
      <c r="AA35" s="45">
        <f t="shared" si="8"/>
        <v>0</v>
      </c>
      <c r="AB35" s="45">
        <f t="shared" si="9"/>
        <v>0</v>
      </c>
      <c r="AC35" s="89"/>
    </row>
    <row r="36" spans="1:29" ht="19.5" customHeight="1">
      <c r="A36" s="39" t="s">
        <v>17</v>
      </c>
      <c r="B36" s="39" t="s">
        <v>72</v>
      </c>
      <c r="C36" s="39" t="s">
        <v>73</v>
      </c>
      <c r="D36" s="39" t="s">
        <v>137</v>
      </c>
      <c r="E36" s="39" t="s">
        <v>135</v>
      </c>
      <c r="F36" s="43" t="s">
        <v>214</v>
      </c>
      <c r="G36" s="44">
        <v>849</v>
      </c>
      <c r="H36" s="45">
        <v>6.7469999999999999</v>
      </c>
      <c r="I36" s="45">
        <f t="shared" si="1"/>
        <v>0.62409749999999997</v>
      </c>
      <c r="J36" s="45">
        <v>1.17</v>
      </c>
      <c r="K36" s="45">
        <f t="shared" si="2"/>
        <v>4.9529025000000004</v>
      </c>
      <c r="L36" s="44">
        <v>0</v>
      </c>
      <c r="M36" s="45">
        <f t="shared" si="3"/>
        <v>0</v>
      </c>
      <c r="N36" s="45">
        <v>5.0492330000000001</v>
      </c>
      <c r="O36" s="45">
        <f t="shared" si="4"/>
        <v>0.46705400000000002</v>
      </c>
      <c r="P36" s="45">
        <f t="shared" si="5"/>
        <v>0</v>
      </c>
      <c r="Q36" s="45">
        <v>1.1200000000000001</v>
      </c>
      <c r="R36" s="45">
        <f t="shared" si="6"/>
        <v>0</v>
      </c>
      <c r="S36" s="45">
        <f t="shared" ref="S36:S68" si="22">M36-R36-P36</f>
        <v>0</v>
      </c>
      <c r="T36" s="46" t="s">
        <v>142</v>
      </c>
      <c r="U36" s="45">
        <f>IF(T36="S",N36-O36,SMALL((K36,N36),1))</f>
        <v>4.582179</v>
      </c>
      <c r="V36" s="45">
        <f t="shared" si="7"/>
        <v>3890.2699710000002</v>
      </c>
      <c r="W36" s="47">
        <v>1</v>
      </c>
      <c r="X36" s="47">
        <v>1</v>
      </c>
      <c r="Y36" s="45">
        <f>IF(T36="S",Q36,SMALL((J36,Q36),1))</f>
        <v>1.1200000000000001</v>
      </c>
      <c r="Z36" s="45">
        <f>IF(T36="S",O36,SMALL((I36,O36),1))</f>
        <v>0.46705400000000002</v>
      </c>
      <c r="AA36" s="45">
        <f t="shared" si="8"/>
        <v>1347.41</v>
      </c>
      <c r="AB36" s="45">
        <f t="shared" si="9"/>
        <v>5237.6799710000005</v>
      </c>
      <c r="AC36" s="89"/>
    </row>
    <row r="37" spans="1:29" ht="19.5" customHeight="1">
      <c r="A37" s="39" t="s">
        <v>17</v>
      </c>
      <c r="B37" s="39" t="s">
        <v>74</v>
      </c>
      <c r="C37" s="39" t="s">
        <v>75</v>
      </c>
      <c r="D37" s="39" t="s">
        <v>138</v>
      </c>
      <c r="E37" s="39" t="s">
        <v>135</v>
      </c>
      <c r="F37" s="43" t="s">
        <v>214</v>
      </c>
      <c r="G37" s="44">
        <v>0</v>
      </c>
      <c r="H37" s="45">
        <v>6.7469999999999999</v>
      </c>
      <c r="I37" s="45">
        <f t="shared" si="1"/>
        <v>0.62409749999999997</v>
      </c>
      <c r="J37" s="45">
        <v>1.17</v>
      </c>
      <c r="K37" s="45">
        <f t="shared" si="2"/>
        <v>4.9529025000000004</v>
      </c>
      <c r="L37" s="44">
        <v>0</v>
      </c>
      <c r="M37" s="45">
        <f t="shared" si="3"/>
        <v>0</v>
      </c>
      <c r="N37" s="45">
        <v>0</v>
      </c>
      <c r="O37" s="45">
        <f t="shared" si="4"/>
        <v>0</v>
      </c>
      <c r="P37" s="45">
        <f t="shared" si="5"/>
        <v>0</v>
      </c>
      <c r="Q37" s="45">
        <v>0</v>
      </c>
      <c r="R37" s="45">
        <f t="shared" si="6"/>
        <v>0</v>
      </c>
      <c r="S37" s="45">
        <f t="shared" si="22"/>
        <v>0</v>
      </c>
      <c r="T37" s="46" t="s">
        <v>142</v>
      </c>
      <c r="U37" s="45">
        <f>IF(T37="S",N37-O37,SMALL((K37,N37),1))</f>
        <v>0</v>
      </c>
      <c r="V37" s="45">
        <f t="shared" si="7"/>
        <v>0</v>
      </c>
      <c r="W37" s="47">
        <v>1</v>
      </c>
      <c r="X37" s="47">
        <v>1</v>
      </c>
      <c r="Y37" s="45">
        <f>IF(T37="S",Q37,SMALL((J37,Q37),1))</f>
        <v>0</v>
      </c>
      <c r="Z37" s="45">
        <f>IF(T37="S",O37,SMALL((I37,O37),1))</f>
        <v>0</v>
      </c>
      <c r="AA37" s="45">
        <f t="shared" si="8"/>
        <v>0</v>
      </c>
      <c r="AB37" s="45">
        <f t="shared" si="9"/>
        <v>0</v>
      </c>
      <c r="AC37" s="89"/>
    </row>
    <row r="38" spans="1:29" ht="19.5" customHeight="1">
      <c r="A38" s="39" t="s">
        <v>17</v>
      </c>
      <c r="B38" s="39" t="s">
        <v>76</v>
      </c>
      <c r="C38" s="39" t="s">
        <v>77</v>
      </c>
      <c r="D38" s="39" t="s">
        <v>136</v>
      </c>
      <c r="E38" s="39" t="s">
        <v>135</v>
      </c>
      <c r="F38" s="43" t="s">
        <v>214</v>
      </c>
      <c r="G38" s="44">
        <v>0</v>
      </c>
      <c r="H38" s="45">
        <v>6.7469999999999999</v>
      </c>
      <c r="I38" s="45">
        <f t="shared" si="1"/>
        <v>0.62409749999999997</v>
      </c>
      <c r="J38" s="45">
        <v>1.17</v>
      </c>
      <c r="K38" s="45">
        <f t="shared" si="2"/>
        <v>4.9529025000000004</v>
      </c>
      <c r="L38" s="44">
        <v>0</v>
      </c>
      <c r="M38" s="45">
        <f t="shared" si="3"/>
        <v>0</v>
      </c>
      <c r="N38" s="45">
        <v>0</v>
      </c>
      <c r="O38" s="45">
        <f t="shared" si="4"/>
        <v>0</v>
      </c>
      <c r="P38" s="45">
        <f t="shared" si="5"/>
        <v>0</v>
      </c>
      <c r="Q38" s="45">
        <v>0</v>
      </c>
      <c r="R38" s="45">
        <f t="shared" si="6"/>
        <v>0</v>
      </c>
      <c r="S38" s="45">
        <f t="shared" si="22"/>
        <v>0</v>
      </c>
      <c r="T38" s="46" t="s">
        <v>142</v>
      </c>
      <c r="U38" s="45">
        <f>IF(T38="S",N38-O38,SMALL((K38,N38),1))</f>
        <v>0</v>
      </c>
      <c r="V38" s="45">
        <f t="shared" si="7"/>
        <v>0</v>
      </c>
      <c r="W38" s="47">
        <v>1</v>
      </c>
      <c r="X38" s="47">
        <v>1</v>
      </c>
      <c r="Y38" s="45">
        <f>IF(T38="S",Q38,SMALL((J38,Q38),1))</f>
        <v>0</v>
      </c>
      <c r="Z38" s="45">
        <f>IF(T38="S",O38,SMALL((I38,O38),1))</f>
        <v>0</v>
      </c>
      <c r="AA38" s="45">
        <f t="shared" si="8"/>
        <v>0</v>
      </c>
      <c r="AB38" s="45">
        <f t="shared" si="9"/>
        <v>0</v>
      </c>
      <c r="AC38" s="89"/>
    </row>
    <row r="39" spans="1:29" ht="19.5" customHeight="1">
      <c r="A39" s="39" t="s">
        <v>17</v>
      </c>
      <c r="B39" s="39" t="s">
        <v>78</v>
      </c>
      <c r="C39" s="39" t="s">
        <v>79</v>
      </c>
      <c r="D39" s="39" t="s">
        <v>137</v>
      </c>
      <c r="E39" s="39" t="s">
        <v>135</v>
      </c>
      <c r="F39" s="43" t="s">
        <v>214</v>
      </c>
      <c r="G39" s="44">
        <v>0</v>
      </c>
      <c r="H39" s="45">
        <v>6.7469999999999999</v>
      </c>
      <c r="I39" s="45">
        <f t="shared" si="1"/>
        <v>0.62409749999999997</v>
      </c>
      <c r="J39" s="45">
        <v>1.17</v>
      </c>
      <c r="K39" s="45">
        <f t="shared" si="2"/>
        <v>4.9529025000000004</v>
      </c>
      <c r="L39" s="44">
        <v>0</v>
      </c>
      <c r="M39" s="45">
        <f t="shared" si="3"/>
        <v>0</v>
      </c>
      <c r="N39" s="45">
        <v>0</v>
      </c>
      <c r="O39" s="45">
        <f t="shared" si="4"/>
        <v>0</v>
      </c>
      <c r="P39" s="45">
        <f t="shared" si="5"/>
        <v>0</v>
      </c>
      <c r="Q39" s="45">
        <v>0</v>
      </c>
      <c r="R39" s="45">
        <f t="shared" si="6"/>
        <v>0</v>
      </c>
      <c r="S39" s="45">
        <f t="shared" si="22"/>
        <v>0</v>
      </c>
      <c r="T39" s="46" t="s">
        <v>142</v>
      </c>
      <c r="U39" s="45">
        <f>IF(T39="S",N39-O39,SMALL((K39,N39),1))</f>
        <v>0</v>
      </c>
      <c r="V39" s="45">
        <f t="shared" si="7"/>
        <v>0</v>
      </c>
      <c r="W39" s="47">
        <v>1</v>
      </c>
      <c r="X39" s="47">
        <v>1</v>
      </c>
      <c r="Y39" s="45">
        <f>IF(T39="S",Q39,SMALL((J39,Q39),1))</f>
        <v>0</v>
      </c>
      <c r="Z39" s="45">
        <f>IF(T39="S",O39,SMALL((I39,O39),1))</f>
        <v>0</v>
      </c>
      <c r="AA39" s="45">
        <f t="shared" si="8"/>
        <v>0</v>
      </c>
      <c r="AB39" s="45">
        <f t="shared" si="9"/>
        <v>0</v>
      </c>
      <c r="AC39" s="89"/>
    </row>
    <row r="40" spans="1:29" ht="19.5" customHeight="1">
      <c r="A40" s="39" t="s">
        <v>17</v>
      </c>
      <c r="B40" s="39" t="s">
        <v>80</v>
      </c>
      <c r="C40" s="39" t="s">
        <v>81</v>
      </c>
      <c r="D40" s="39" t="s">
        <v>137</v>
      </c>
      <c r="E40" s="39" t="s">
        <v>135</v>
      </c>
      <c r="F40" s="43" t="s">
        <v>214</v>
      </c>
      <c r="G40" s="44">
        <v>0</v>
      </c>
      <c r="H40" s="45">
        <v>6.7469999999999999</v>
      </c>
      <c r="I40" s="45">
        <f t="shared" si="1"/>
        <v>0.62409749999999997</v>
      </c>
      <c r="J40" s="45">
        <v>1.17</v>
      </c>
      <c r="K40" s="45">
        <f t="shared" si="2"/>
        <v>4.9529025000000004</v>
      </c>
      <c r="L40" s="44">
        <v>0</v>
      </c>
      <c r="M40" s="45">
        <f t="shared" si="3"/>
        <v>0</v>
      </c>
      <c r="N40" s="45">
        <v>0</v>
      </c>
      <c r="O40" s="45">
        <f t="shared" si="4"/>
        <v>0</v>
      </c>
      <c r="P40" s="45">
        <f t="shared" si="5"/>
        <v>0</v>
      </c>
      <c r="Q40" s="45">
        <v>0</v>
      </c>
      <c r="R40" s="45">
        <f t="shared" si="6"/>
        <v>0</v>
      </c>
      <c r="S40" s="45">
        <f t="shared" si="22"/>
        <v>0</v>
      </c>
      <c r="T40" s="46" t="s">
        <v>142</v>
      </c>
      <c r="U40" s="45">
        <f>IF(T40="S",N40-O40,SMALL((K40,N40),1))</f>
        <v>0</v>
      </c>
      <c r="V40" s="45">
        <f t="shared" si="7"/>
        <v>0</v>
      </c>
      <c r="W40" s="47">
        <v>1</v>
      </c>
      <c r="X40" s="47">
        <v>1</v>
      </c>
      <c r="Y40" s="45">
        <f>IF(T40="S",Q40,SMALL((J40,Q40),1))</f>
        <v>0</v>
      </c>
      <c r="Z40" s="45">
        <f>IF(T40="S",O40,SMALL((I40,O40),1))</f>
        <v>0</v>
      </c>
      <c r="AA40" s="45">
        <f t="shared" si="8"/>
        <v>0</v>
      </c>
      <c r="AB40" s="45">
        <f t="shared" si="9"/>
        <v>0</v>
      </c>
      <c r="AC40" s="89"/>
    </row>
    <row r="41" spans="1:29" ht="19.5" customHeight="1">
      <c r="A41" s="39" t="s">
        <v>17</v>
      </c>
      <c r="B41" s="39" t="s">
        <v>82</v>
      </c>
      <c r="C41" s="39" t="s">
        <v>83</v>
      </c>
      <c r="D41" s="39" t="s">
        <v>137</v>
      </c>
      <c r="E41" s="39" t="s">
        <v>135</v>
      </c>
      <c r="F41" s="43" t="s">
        <v>214</v>
      </c>
      <c r="G41" s="44">
        <v>80691</v>
      </c>
      <c r="H41" s="45">
        <v>6.7469999999999999</v>
      </c>
      <c r="I41" s="45">
        <f t="shared" si="1"/>
        <v>0.62409749999999997</v>
      </c>
      <c r="J41" s="45">
        <v>1.17</v>
      </c>
      <c r="K41" s="45">
        <f t="shared" ref="K41" si="23">H41-I41-J41</f>
        <v>4.9529025000000004</v>
      </c>
      <c r="L41" s="44">
        <v>0</v>
      </c>
      <c r="M41" s="45">
        <f t="shared" si="3"/>
        <v>0</v>
      </c>
      <c r="N41" s="45">
        <v>5.0492330000000001</v>
      </c>
      <c r="O41" s="45">
        <f t="shared" si="4"/>
        <v>0.46705400000000002</v>
      </c>
      <c r="P41" s="45">
        <f t="shared" si="5"/>
        <v>0</v>
      </c>
      <c r="Q41" s="45">
        <v>1.1200000000000001</v>
      </c>
      <c r="R41" s="45">
        <f t="shared" si="6"/>
        <v>0</v>
      </c>
      <c r="S41" s="45">
        <f t="shared" si="22"/>
        <v>0</v>
      </c>
      <c r="T41" s="46" t="s">
        <v>142</v>
      </c>
      <c r="U41" s="45">
        <f>IF(T41="S",N41-O41,SMALL((K41,N41),1))</f>
        <v>4.582179</v>
      </c>
      <c r="V41" s="45">
        <f t="shared" si="7"/>
        <v>369740.60568899999</v>
      </c>
      <c r="W41" s="47">
        <v>1</v>
      </c>
      <c r="X41" s="47">
        <v>1</v>
      </c>
      <c r="Y41" s="45">
        <f>IF(T41="S",Q41,SMALL((J41,Q41),1))</f>
        <v>1.1200000000000001</v>
      </c>
      <c r="Z41" s="45">
        <f>IF(T41="S",O41,SMALL((I41,O41),1))</f>
        <v>0.46705400000000002</v>
      </c>
      <c r="AA41" s="45">
        <f t="shared" si="8"/>
        <v>128060.97</v>
      </c>
      <c r="AB41" s="45">
        <f t="shared" ref="AB41" si="24">V41+AA41</f>
        <v>497801.57568899996</v>
      </c>
      <c r="AC41" s="89"/>
    </row>
    <row r="42" spans="1:29" ht="19.5" customHeight="1">
      <c r="A42" s="39" t="s">
        <v>17</v>
      </c>
      <c r="B42" s="39" t="s">
        <v>150</v>
      </c>
      <c r="C42" s="39" t="s">
        <v>151</v>
      </c>
      <c r="D42" s="39" t="s">
        <v>136</v>
      </c>
      <c r="E42" s="39" t="s">
        <v>135</v>
      </c>
      <c r="F42" s="43" t="s">
        <v>214</v>
      </c>
      <c r="G42" s="44">
        <v>0</v>
      </c>
      <c r="H42" s="45">
        <v>6.7469999999999999</v>
      </c>
      <c r="I42" s="45">
        <f t="shared" si="1"/>
        <v>0.62409749999999997</v>
      </c>
      <c r="J42" s="45">
        <v>1.17</v>
      </c>
      <c r="K42" s="45">
        <f t="shared" ref="K42" si="25">H42-I42-J42</f>
        <v>4.9529025000000004</v>
      </c>
      <c r="L42" s="44">
        <v>0</v>
      </c>
      <c r="M42" s="45">
        <f t="shared" si="3"/>
        <v>0</v>
      </c>
      <c r="N42" s="45">
        <v>4.1288220000000004</v>
      </c>
      <c r="O42" s="45">
        <f t="shared" si="4"/>
        <v>0.38191599999999998</v>
      </c>
      <c r="P42" s="45">
        <f t="shared" si="5"/>
        <v>0</v>
      </c>
      <c r="Q42" s="45">
        <v>0.9456</v>
      </c>
      <c r="R42" s="45">
        <f t="shared" si="6"/>
        <v>0</v>
      </c>
      <c r="S42" s="45">
        <f t="shared" si="22"/>
        <v>0</v>
      </c>
      <c r="T42" s="46" t="s">
        <v>142</v>
      </c>
      <c r="U42" s="45">
        <f>IF(T42="S",N42-O42,SMALL((K42,N42),1))</f>
        <v>3.7469060000000005</v>
      </c>
      <c r="V42" s="45">
        <f t="shared" si="7"/>
        <v>0</v>
      </c>
      <c r="W42" s="47">
        <v>1</v>
      </c>
      <c r="X42" s="47">
        <v>1</v>
      </c>
      <c r="Y42" s="45">
        <f>IF(T42="S",Q42,SMALL((J42,Q42),1))</f>
        <v>0.9456</v>
      </c>
      <c r="Z42" s="45">
        <f>IF(T42="S",O42,SMALL((I42,O42),1))</f>
        <v>0.38191599999999998</v>
      </c>
      <c r="AA42" s="45">
        <f t="shared" si="8"/>
        <v>0</v>
      </c>
      <c r="AB42" s="45">
        <f t="shared" ref="AB42" si="26">V42+AA42</f>
        <v>0</v>
      </c>
      <c r="AC42" s="89"/>
    </row>
    <row r="43" spans="1:29" ht="19.5" customHeight="1">
      <c r="A43" s="39" t="s">
        <v>17</v>
      </c>
      <c r="B43" s="39" t="s">
        <v>144</v>
      </c>
      <c r="C43" s="39" t="s">
        <v>145</v>
      </c>
      <c r="D43" s="39" t="s">
        <v>134</v>
      </c>
      <c r="E43" s="39" t="s">
        <v>135</v>
      </c>
      <c r="F43" s="43" t="s">
        <v>214</v>
      </c>
      <c r="G43" s="44">
        <v>0</v>
      </c>
      <c r="H43" s="45">
        <v>6.7469999999999999</v>
      </c>
      <c r="I43" s="45">
        <f t="shared" si="1"/>
        <v>0.62409749999999997</v>
      </c>
      <c r="J43" s="45">
        <v>1.17</v>
      </c>
      <c r="K43" s="45">
        <f t="shared" si="2"/>
        <v>4.9529025000000004</v>
      </c>
      <c r="L43" s="44">
        <v>0</v>
      </c>
      <c r="M43" s="45">
        <f t="shared" si="3"/>
        <v>0</v>
      </c>
      <c r="N43" s="45">
        <v>0</v>
      </c>
      <c r="O43" s="45">
        <f t="shared" si="4"/>
        <v>0</v>
      </c>
      <c r="P43" s="45">
        <f t="shared" si="5"/>
        <v>0</v>
      </c>
      <c r="Q43" s="45">
        <v>0</v>
      </c>
      <c r="R43" s="45">
        <f t="shared" si="6"/>
        <v>0</v>
      </c>
      <c r="S43" s="45">
        <f t="shared" si="22"/>
        <v>0</v>
      </c>
      <c r="T43" s="46" t="s">
        <v>142</v>
      </c>
      <c r="U43" s="45">
        <f>IF(T43="S",N43-O43,SMALL((K43,N43),1))</f>
        <v>0</v>
      </c>
      <c r="V43" s="45">
        <f t="shared" si="7"/>
        <v>0</v>
      </c>
      <c r="W43" s="47">
        <v>1</v>
      </c>
      <c r="X43" s="47">
        <v>1</v>
      </c>
      <c r="Y43" s="45">
        <f>IF(T43="S",Q43,SMALL((J43,Q43),1))</f>
        <v>0</v>
      </c>
      <c r="Z43" s="45">
        <f>IF(T43="S",O43,SMALL((I43,O43),1))</f>
        <v>0</v>
      </c>
      <c r="AA43" s="45">
        <f t="shared" si="8"/>
        <v>0</v>
      </c>
      <c r="AB43" s="45">
        <f t="shared" si="9"/>
        <v>0</v>
      </c>
      <c r="AC43" s="89"/>
    </row>
    <row r="44" spans="1:29" ht="19.5" customHeight="1">
      <c r="A44" s="39" t="s">
        <v>17</v>
      </c>
      <c r="B44" s="39" t="s">
        <v>84</v>
      </c>
      <c r="C44" s="39" t="s">
        <v>85</v>
      </c>
      <c r="D44" s="39" t="s">
        <v>138</v>
      </c>
      <c r="E44" s="39" t="s">
        <v>135</v>
      </c>
      <c r="F44" s="43" t="s">
        <v>214</v>
      </c>
      <c r="G44" s="44">
        <v>0</v>
      </c>
      <c r="H44" s="45">
        <v>6.7469999999999999</v>
      </c>
      <c r="I44" s="45">
        <f t="shared" si="1"/>
        <v>0.62409749999999997</v>
      </c>
      <c r="J44" s="45">
        <v>1.17</v>
      </c>
      <c r="K44" s="45">
        <f t="shared" si="2"/>
        <v>4.9529025000000004</v>
      </c>
      <c r="L44" s="44">
        <v>0</v>
      </c>
      <c r="M44" s="45">
        <f t="shared" si="3"/>
        <v>0</v>
      </c>
      <c r="N44" s="45">
        <v>5.1672000000000002</v>
      </c>
      <c r="O44" s="45">
        <f t="shared" si="4"/>
        <v>0.477966</v>
      </c>
      <c r="P44" s="45">
        <f t="shared" si="5"/>
        <v>0</v>
      </c>
      <c r="Q44" s="45">
        <v>1.1200000000000001</v>
      </c>
      <c r="R44" s="45">
        <f t="shared" si="6"/>
        <v>0</v>
      </c>
      <c r="S44" s="45">
        <f t="shared" si="22"/>
        <v>0</v>
      </c>
      <c r="T44" s="46" t="s">
        <v>142</v>
      </c>
      <c r="U44" s="45">
        <f>IF(T44="S",N44-O44,SMALL((K44,N44),1))</f>
        <v>4.6892339999999999</v>
      </c>
      <c r="V44" s="45">
        <f t="shared" si="7"/>
        <v>0</v>
      </c>
      <c r="W44" s="47">
        <v>1</v>
      </c>
      <c r="X44" s="47">
        <v>1</v>
      </c>
      <c r="Y44" s="45">
        <f>IF(T44="S",Q44,SMALL((J44,Q44),1))</f>
        <v>1.1200000000000001</v>
      </c>
      <c r="Z44" s="45">
        <f>IF(T44="S",O44,SMALL((I44,O44),1))</f>
        <v>0.477966</v>
      </c>
      <c r="AA44" s="45">
        <f t="shared" si="8"/>
        <v>0</v>
      </c>
      <c r="AB44" s="45">
        <f t="shared" si="9"/>
        <v>0</v>
      </c>
      <c r="AC44" s="89"/>
    </row>
    <row r="45" spans="1:29" ht="19.5" customHeight="1">
      <c r="A45" s="39" t="s">
        <v>17</v>
      </c>
      <c r="B45" s="39" t="s">
        <v>86</v>
      </c>
      <c r="C45" s="39" t="s">
        <v>87</v>
      </c>
      <c r="D45" s="39" t="s">
        <v>139</v>
      </c>
      <c r="E45" s="39" t="s">
        <v>135</v>
      </c>
      <c r="F45" s="43" t="s">
        <v>214</v>
      </c>
      <c r="G45" s="44">
        <v>0</v>
      </c>
      <c r="H45" s="45">
        <v>6.7469999999999999</v>
      </c>
      <c r="I45" s="45">
        <f t="shared" si="1"/>
        <v>0.62409749999999997</v>
      </c>
      <c r="J45" s="45">
        <v>1.17</v>
      </c>
      <c r="K45" s="45">
        <f t="shared" si="2"/>
        <v>4.9529025000000004</v>
      </c>
      <c r="L45" s="44">
        <v>0</v>
      </c>
      <c r="M45" s="45">
        <f t="shared" si="3"/>
        <v>0</v>
      </c>
      <c r="N45" s="45">
        <v>4.3563000000000001</v>
      </c>
      <c r="O45" s="45">
        <f t="shared" si="4"/>
        <v>0.40295799999999998</v>
      </c>
      <c r="P45" s="45">
        <f t="shared" si="5"/>
        <v>0</v>
      </c>
      <c r="Q45" s="45">
        <v>1.0634999999999999</v>
      </c>
      <c r="R45" s="45">
        <f t="shared" si="6"/>
        <v>0</v>
      </c>
      <c r="S45" s="45">
        <f t="shared" si="22"/>
        <v>0</v>
      </c>
      <c r="T45" s="46" t="s">
        <v>142</v>
      </c>
      <c r="U45" s="45">
        <f>IF(T45="S",N45-O45,SMALL((K45,N45),1))</f>
        <v>3.9533420000000001</v>
      </c>
      <c r="V45" s="45">
        <f t="shared" si="7"/>
        <v>0</v>
      </c>
      <c r="W45" s="47">
        <v>1</v>
      </c>
      <c r="X45" s="47">
        <v>1</v>
      </c>
      <c r="Y45" s="45">
        <f>IF(T45="S",Q45,SMALL((J45,Q45),1))</f>
        <v>1.0634999999999999</v>
      </c>
      <c r="Z45" s="45">
        <f>IF(T45="S",O45,SMALL((I45,O45),1))</f>
        <v>0.40295799999999998</v>
      </c>
      <c r="AA45" s="45">
        <f t="shared" si="8"/>
        <v>0</v>
      </c>
      <c r="AB45" s="45">
        <f t="shared" si="9"/>
        <v>0</v>
      </c>
      <c r="AC45" s="89"/>
    </row>
    <row r="46" spans="1:29" ht="19.5" customHeight="1">
      <c r="A46" s="39" t="s">
        <v>17</v>
      </c>
      <c r="B46" s="39" t="s">
        <v>88</v>
      </c>
      <c r="C46" s="39" t="s">
        <v>89</v>
      </c>
      <c r="D46" s="39" t="s">
        <v>136</v>
      </c>
      <c r="E46" s="39" t="s">
        <v>135</v>
      </c>
      <c r="F46" s="43" t="s">
        <v>214</v>
      </c>
      <c r="G46" s="44">
        <v>0</v>
      </c>
      <c r="H46" s="45">
        <v>6.7469999999999999</v>
      </c>
      <c r="I46" s="45">
        <f t="shared" si="1"/>
        <v>0.62409749999999997</v>
      </c>
      <c r="J46" s="45">
        <v>1.17</v>
      </c>
      <c r="K46" s="45">
        <f t="shared" si="2"/>
        <v>4.9529025000000004</v>
      </c>
      <c r="L46" s="44">
        <v>0</v>
      </c>
      <c r="M46" s="45">
        <f t="shared" si="3"/>
        <v>0</v>
      </c>
      <c r="N46" s="45">
        <v>4.1485820000000002</v>
      </c>
      <c r="O46" s="45">
        <f t="shared" si="4"/>
        <v>0.38374399999999997</v>
      </c>
      <c r="P46" s="45">
        <f t="shared" si="5"/>
        <v>0</v>
      </c>
      <c r="Q46" s="45">
        <v>0.9456</v>
      </c>
      <c r="R46" s="45">
        <f t="shared" si="6"/>
        <v>0</v>
      </c>
      <c r="S46" s="45">
        <f t="shared" si="22"/>
        <v>0</v>
      </c>
      <c r="T46" s="46" t="s">
        <v>142</v>
      </c>
      <c r="U46" s="45">
        <f>IF(T46="S",N46-O46,SMALL((K46,N46),1))</f>
        <v>3.7648380000000001</v>
      </c>
      <c r="V46" s="45">
        <f t="shared" si="7"/>
        <v>0</v>
      </c>
      <c r="W46" s="47">
        <v>1</v>
      </c>
      <c r="X46" s="47">
        <v>1</v>
      </c>
      <c r="Y46" s="45">
        <f>IF(T46="S",Q46,SMALL((J46,Q46),1))</f>
        <v>0.9456</v>
      </c>
      <c r="Z46" s="45">
        <f>IF(T46="S",O46,SMALL((I46,O46),1))</f>
        <v>0.38374399999999997</v>
      </c>
      <c r="AA46" s="45">
        <f t="shared" si="8"/>
        <v>0</v>
      </c>
      <c r="AB46" s="45">
        <f t="shared" si="9"/>
        <v>0</v>
      </c>
      <c r="AC46" s="89"/>
    </row>
    <row r="47" spans="1:29" ht="19.5" customHeight="1">
      <c r="A47" s="39" t="s">
        <v>17</v>
      </c>
      <c r="B47" s="39" t="s">
        <v>157</v>
      </c>
      <c r="C47" s="39" t="s">
        <v>158</v>
      </c>
      <c r="D47" s="39" t="s">
        <v>137</v>
      </c>
      <c r="E47" s="39" t="s">
        <v>135</v>
      </c>
      <c r="F47" s="43" t="s">
        <v>214</v>
      </c>
      <c r="G47" s="44">
        <v>0</v>
      </c>
      <c r="H47" s="45">
        <v>6.7469999999999999</v>
      </c>
      <c r="I47" s="45">
        <f t="shared" si="1"/>
        <v>0.62409749999999997</v>
      </c>
      <c r="J47" s="45">
        <v>1.17</v>
      </c>
      <c r="K47" s="45">
        <f t="shared" si="2"/>
        <v>4.9529025000000004</v>
      </c>
      <c r="L47" s="44">
        <v>0</v>
      </c>
      <c r="M47" s="45">
        <f t="shared" si="3"/>
        <v>0</v>
      </c>
      <c r="N47" s="45">
        <v>4.8995290000000002</v>
      </c>
      <c r="O47" s="45">
        <f t="shared" si="4"/>
        <v>0.453206</v>
      </c>
      <c r="P47" s="45">
        <f t="shared" si="5"/>
        <v>0</v>
      </c>
      <c r="Q47" s="45">
        <v>1.2248822222219999</v>
      </c>
      <c r="R47" s="45">
        <f t="shared" si="6"/>
        <v>0</v>
      </c>
      <c r="S47" s="45">
        <f t="shared" si="22"/>
        <v>0</v>
      </c>
      <c r="T47" s="46" t="s">
        <v>142</v>
      </c>
      <c r="U47" s="45">
        <f>IF(T47="S",N47-O47,SMALL((K47,N47),1))</f>
        <v>4.4463230000000005</v>
      </c>
      <c r="V47" s="45">
        <f t="shared" si="7"/>
        <v>0</v>
      </c>
      <c r="W47" s="47">
        <v>1</v>
      </c>
      <c r="X47" s="47">
        <v>1</v>
      </c>
      <c r="Y47" s="45">
        <f>IF(T47="S",Q47,SMALL((J47,Q47),1))</f>
        <v>1.2248822222219999</v>
      </c>
      <c r="Z47" s="45">
        <f>IF(T47="S",O47,SMALL((I47,O47),1))</f>
        <v>0.453206</v>
      </c>
      <c r="AA47" s="45">
        <f t="shared" si="8"/>
        <v>0</v>
      </c>
      <c r="AB47" s="45">
        <f t="shared" si="9"/>
        <v>0</v>
      </c>
      <c r="AC47" s="89"/>
    </row>
    <row r="48" spans="1:29" ht="19.5" customHeight="1">
      <c r="A48" s="39" t="s">
        <v>17</v>
      </c>
      <c r="B48" s="39" t="s">
        <v>292</v>
      </c>
      <c r="C48" s="39" t="s">
        <v>293</v>
      </c>
      <c r="D48" s="39" t="s">
        <v>138</v>
      </c>
      <c r="E48" s="39" t="s">
        <v>135</v>
      </c>
      <c r="F48" s="43" t="s">
        <v>214</v>
      </c>
      <c r="G48" s="44">
        <v>0</v>
      </c>
      <c r="H48" s="45">
        <v>6.7469999999999999</v>
      </c>
      <c r="I48" s="45">
        <f t="shared" ref="I48" si="27">H48*0.0925</f>
        <v>0.62409749999999997</v>
      </c>
      <c r="J48" s="45">
        <v>1.17</v>
      </c>
      <c r="K48" s="45">
        <f t="shared" ref="K48" si="28">H48-I48-J48</f>
        <v>4.9529025000000004</v>
      </c>
      <c r="L48" s="44">
        <v>0</v>
      </c>
      <c r="M48" s="45">
        <f t="shared" ref="M48" si="29">(N48+O48)*L48</f>
        <v>0</v>
      </c>
      <c r="N48" s="45">
        <v>5.1105</v>
      </c>
      <c r="O48" s="45">
        <f t="shared" si="4"/>
        <v>0.472721</v>
      </c>
      <c r="P48" s="45">
        <f t="shared" si="5"/>
        <v>0</v>
      </c>
      <c r="Q48" s="45">
        <v>1.1200000000000001</v>
      </c>
      <c r="R48" s="45">
        <f t="shared" si="6"/>
        <v>0</v>
      </c>
      <c r="S48" s="45">
        <f t="shared" ref="S48" si="30">M48-R48-P48</f>
        <v>0</v>
      </c>
      <c r="T48" s="46" t="s">
        <v>142</v>
      </c>
      <c r="U48" s="45">
        <f>IF(T48="S",N48-O48,SMALL((K48,N48),1))</f>
        <v>4.6377790000000001</v>
      </c>
      <c r="V48" s="45">
        <f t="shared" si="7"/>
        <v>0</v>
      </c>
      <c r="W48" s="47">
        <v>1</v>
      </c>
      <c r="X48" s="47">
        <v>1</v>
      </c>
      <c r="Y48" s="45">
        <f>IF(T48="S",Q48,SMALL((J48,Q48),1))</f>
        <v>1.1200000000000001</v>
      </c>
      <c r="Z48" s="45">
        <f>IF(T48="S",O48,SMALL((I48,O48),1))</f>
        <v>0.472721</v>
      </c>
      <c r="AA48" s="45">
        <f t="shared" si="8"/>
        <v>0</v>
      </c>
      <c r="AB48" s="45">
        <f t="shared" ref="AB48" si="31">V48+AA48</f>
        <v>0</v>
      </c>
      <c r="AC48" s="89"/>
    </row>
    <row r="49" spans="1:29" ht="19.5" customHeight="1">
      <c r="A49" s="39" t="s">
        <v>17</v>
      </c>
      <c r="B49" s="39" t="s">
        <v>90</v>
      </c>
      <c r="C49" s="39" t="s">
        <v>294</v>
      </c>
      <c r="D49" s="39" t="s">
        <v>138</v>
      </c>
      <c r="E49" s="39" t="s">
        <v>135</v>
      </c>
      <c r="F49" s="43" t="s">
        <v>214</v>
      </c>
      <c r="G49" s="44">
        <v>0</v>
      </c>
      <c r="H49" s="45">
        <v>6.7469999999999999</v>
      </c>
      <c r="I49" s="45">
        <f t="shared" si="1"/>
        <v>0.62409749999999997</v>
      </c>
      <c r="J49" s="45">
        <v>1.17</v>
      </c>
      <c r="K49" s="45">
        <f t="shared" si="2"/>
        <v>4.9529025000000004</v>
      </c>
      <c r="L49" s="44">
        <v>0</v>
      </c>
      <c r="M49" s="45">
        <f t="shared" si="3"/>
        <v>0</v>
      </c>
      <c r="N49" s="45">
        <v>5.1105</v>
      </c>
      <c r="O49" s="45">
        <f t="shared" si="4"/>
        <v>0.472721</v>
      </c>
      <c r="P49" s="45">
        <f t="shared" si="5"/>
        <v>0</v>
      </c>
      <c r="Q49" s="45">
        <v>1.1200000000000001</v>
      </c>
      <c r="R49" s="45">
        <f t="shared" si="6"/>
        <v>0</v>
      </c>
      <c r="S49" s="45">
        <f t="shared" si="22"/>
        <v>0</v>
      </c>
      <c r="T49" s="46" t="s">
        <v>142</v>
      </c>
      <c r="U49" s="45">
        <f>IF(T49="S",N49-O49,SMALL((K49,N49),1))</f>
        <v>4.6377790000000001</v>
      </c>
      <c r="V49" s="45">
        <f t="shared" si="7"/>
        <v>0</v>
      </c>
      <c r="W49" s="47">
        <v>1</v>
      </c>
      <c r="X49" s="47">
        <v>1</v>
      </c>
      <c r="Y49" s="45">
        <f>IF(T49="S",Q49,SMALL((J49,Q49),1))</f>
        <v>1.1200000000000001</v>
      </c>
      <c r="Z49" s="45">
        <f>IF(T49="S",O49,SMALL((I49,O49),1))</f>
        <v>0.472721</v>
      </c>
      <c r="AA49" s="45">
        <f t="shared" si="8"/>
        <v>0</v>
      </c>
      <c r="AB49" s="45">
        <f t="shared" si="9"/>
        <v>0</v>
      </c>
      <c r="AC49" s="89"/>
    </row>
    <row r="50" spans="1:29" ht="19.5" customHeight="1">
      <c r="A50" s="39" t="s">
        <v>17</v>
      </c>
      <c r="B50" s="39" t="s">
        <v>92</v>
      </c>
      <c r="C50" s="39" t="s">
        <v>93</v>
      </c>
      <c r="D50" s="39" t="s">
        <v>138</v>
      </c>
      <c r="E50" s="39" t="s">
        <v>135</v>
      </c>
      <c r="F50" s="43" t="s">
        <v>214</v>
      </c>
      <c r="G50" s="44">
        <v>0</v>
      </c>
      <c r="H50" s="45">
        <v>6.7469999999999999</v>
      </c>
      <c r="I50" s="45">
        <f t="shared" si="1"/>
        <v>0.62409749999999997</v>
      </c>
      <c r="J50" s="45">
        <v>1.17</v>
      </c>
      <c r="K50" s="45">
        <f t="shared" si="2"/>
        <v>4.9529025000000004</v>
      </c>
      <c r="L50" s="44">
        <v>0</v>
      </c>
      <c r="M50" s="45">
        <f t="shared" si="3"/>
        <v>0</v>
      </c>
      <c r="N50" s="45">
        <v>5.0492330000000001</v>
      </c>
      <c r="O50" s="45">
        <f t="shared" si="4"/>
        <v>0.46705400000000002</v>
      </c>
      <c r="P50" s="45">
        <f t="shared" si="5"/>
        <v>0</v>
      </c>
      <c r="Q50" s="45">
        <v>1.1200000000000001</v>
      </c>
      <c r="R50" s="45">
        <f t="shared" si="6"/>
        <v>0</v>
      </c>
      <c r="S50" s="45">
        <f t="shared" si="22"/>
        <v>0</v>
      </c>
      <c r="T50" s="46" t="s">
        <v>142</v>
      </c>
      <c r="U50" s="45">
        <f>IF(T50="S",N50-O50,SMALL((K50,N50),1))</f>
        <v>4.582179</v>
      </c>
      <c r="V50" s="45">
        <f t="shared" si="7"/>
        <v>0</v>
      </c>
      <c r="W50" s="47">
        <v>1</v>
      </c>
      <c r="X50" s="47">
        <v>1</v>
      </c>
      <c r="Y50" s="45">
        <f>IF(T50="S",Q50,SMALL((J50,Q50),1))</f>
        <v>1.1200000000000001</v>
      </c>
      <c r="Z50" s="45">
        <f>IF(T50="S",O50,SMALL((I50,O50),1))</f>
        <v>0.46705400000000002</v>
      </c>
      <c r="AA50" s="45">
        <f t="shared" si="8"/>
        <v>0</v>
      </c>
      <c r="AB50" s="45">
        <f t="shared" si="9"/>
        <v>0</v>
      </c>
      <c r="AC50" s="89"/>
    </row>
    <row r="51" spans="1:29" ht="19.5" customHeight="1">
      <c r="A51" s="39" t="s">
        <v>17</v>
      </c>
      <c r="B51" s="39" t="s">
        <v>94</v>
      </c>
      <c r="C51" s="39" t="s">
        <v>95</v>
      </c>
      <c r="D51" s="39" t="s">
        <v>140</v>
      </c>
      <c r="E51" s="39" t="s">
        <v>135</v>
      </c>
      <c r="F51" s="43" t="s">
        <v>214</v>
      </c>
      <c r="G51" s="44">
        <v>0</v>
      </c>
      <c r="H51" s="45">
        <v>6.7469999999999999</v>
      </c>
      <c r="I51" s="45">
        <f t="shared" si="1"/>
        <v>0.62409749999999997</v>
      </c>
      <c r="J51" s="45">
        <v>1.17</v>
      </c>
      <c r="K51" s="45">
        <f t="shared" si="2"/>
        <v>4.9529025000000004</v>
      </c>
      <c r="L51" s="44">
        <v>0</v>
      </c>
      <c r="M51" s="45">
        <f t="shared" si="3"/>
        <v>0</v>
      </c>
      <c r="N51" s="45">
        <v>4.9756840000000002</v>
      </c>
      <c r="O51" s="45">
        <f t="shared" si="4"/>
        <v>0.46025100000000002</v>
      </c>
      <c r="P51" s="45">
        <f t="shared" si="5"/>
        <v>0</v>
      </c>
      <c r="Q51" s="45">
        <v>1.019115992455</v>
      </c>
      <c r="R51" s="45">
        <f t="shared" si="6"/>
        <v>0</v>
      </c>
      <c r="S51" s="45">
        <f t="shared" si="22"/>
        <v>0</v>
      </c>
      <c r="T51" s="46" t="s">
        <v>142</v>
      </c>
      <c r="U51" s="45">
        <f>IF(T51="S",N51-O51,SMALL((K51,N51),1))</f>
        <v>4.5154329999999998</v>
      </c>
      <c r="V51" s="45">
        <f t="shared" si="7"/>
        <v>0</v>
      </c>
      <c r="W51" s="47">
        <v>1</v>
      </c>
      <c r="X51" s="47">
        <v>1</v>
      </c>
      <c r="Y51" s="45">
        <f>IF(T51="S",Q51,SMALL((J51,Q51),1))</f>
        <v>1.019115992455</v>
      </c>
      <c r="Z51" s="45">
        <f>IF(T51="S",O51,SMALL((I51,O51),1))</f>
        <v>0.46025100000000002</v>
      </c>
      <c r="AA51" s="45">
        <f t="shared" si="8"/>
        <v>0</v>
      </c>
      <c r="AB51" s="45">
        <f t="shared" si="9"/>
        <v>0</v>
      </c>
      <c r="AC51" s="89"/>
    </row>
    <row r="52" spans="1:29" ht="19.5" customHeight="1">
      <c r="A52" s="39" t="s">
        <v>17</v>
      </c>
      <c r="B52" s="39" t="s">
        <v>96</v>
      </c>
      <c r="C52" s="39" t="s">
        <v>97</v>
      </c>
      <c r="D52" s="39" t="s">
        <v>141</v>
      </c>
      <c r="E52" s="39" t="s">
        <v>135</v>
      </c>
      <c r="F52" s="43" t="s">
        <v>214</v>
      </c>
      <c r="G52" s="44">
        <v>0</v>
      </c>
      <c r="H52" s="45">
        <v>6.7469999999999999</v>
      </c>
      <c r="I52" s="45">
        <f t="shared" si="1"/>
        <v>0.62409749999999997</v>
      </c>
      <c r="J52" s="45">
        <v>1.17</v>
      </c>
      <c r="K52" s="45">
        <f t="shared" si="2"/>
        <v>4.9529025000000004</v>
      </c>
      <c r="L52" s="44">
        <v>0</v>
      </c>
      <c r="M52" s="45">
        <f t="shared" si="3"/>
        <v>0</v>
      </c>
      <c r="N52" s="45">
        <v>4.8995290000000002</v>
      </c>
      <c r="O52" s="45">
        <f t="shared" si="4"/>
        <v>0.453206</v>
      </c>
      <c r="P52" s="45">
        <f t="shared" si="5"/>
        <v>0</v>
      </c>
      <c r="Q52" s="45">
        <v>1.2248822222219999</v>
      </c>
      <c r="R52" s="45">
        <f t="shared" si="6"/>
        <v>0</v>
      </c>
      <c r="S52" s="45">
        <f t="shared" si="22"/>
        <v>0</v>
      </c>
      <c r="T52" s="46" t="s">
        <v>142</v>
      </c>
      <c r="U52" s="45">
        <f>IF(T52="S",N52-O52,SMALL((K52,N52),1))</f>
        <v>4.4463230000000005</v>
      </c>
      <c r="V52" s="45">
        <f t="shared" si="7"/>
        <v>0</v>
      </c>
      <c r="W52" s="47">
        <v>1</v>
      </c>
      <c r="X52" s="47">
        <v>1</v>
      </c>
      <c r="Y52" s="45">
        <f>IF(T52="S",Q52,SMALL((J52,Q52),1))</f>
        <v>1.2248822222219999</v>
      </c>
      <c r="Z52" s="45">
        <f>IF(T52="S",O52,SMALL((I52,O52),1))</f>
        <v>0.453206</v>
      </c>
      <c r="AA52" s="45">
        <f t="shared" si="8"/>
        <v>0</v>
      </c>
      <c r="AB52" s="45">
        <f t="shared" si="9"/>
        <v>0</v>
      </c>
      <c r="AC52" s="89"/>
    </row>
    <row r="53" spans="1:29" ht="19.5" customHeight="1">
      <c r="A53" s="39" t="s">
        <v>17</v>
      </c>
      <c r="B53" s="39" t="s">
        <v>98</v>
      </c>
      <c r="C53" s="39" t="s">
        <v>99</v>
      </c>
      <c r="D53" s="39" t="s">
        <v>139</v>
      </c>
      <c r="E53" s="39" t="s">
        <v>135</v>
      </c>
      <c r="F53" s="43" t="s">
        <v>214</v>
      </c>
      <c r="G53" s="44">
        <v>3428</v>
      </c>
      <c r="H53" s="45">
        <v>6.7469999999999999</v>
      </c>
      <c r="I53" s="45">
        <f t="shared" si="1"/>
        <v>0.62409749999999997</v>
      </c>
      <c r="J53" s="45">
        <v>1.17</v>
      </c>
      <c r="K53" s="45">
        <f t="shared" si="2"/>
        <v>4.9529025000000004</v>
      </c>
      <c r="L53" s="44">
        <v>0</v>
      </c>
      <c r="M53" s="45">
        <f t="shared" si="3"/>
        <v>0</v>
      </c>
      <c r="N53" s="45">
        <v>4.5224000000000002</v>
      </c>
      <c r="O53" s="45">
        <f t="shared" si="4"/>
        <v>0.41832200000000003</v>
      </c>
      <c r="P53" s="45">
        <f t="shared" si="5"/>
        <v>0</v>
      </c>
      <c r="Q53" s="45">
        <v>1.17</v>
      </c>
      <c r="R53" s="45">
        <f t="shared" si="6"/>
        <v>0</v>
      </c>
      <c r="S53" s="45">
        <f t="shared" si="22"/>
        <v>0</v>
      </c>
      <c r="T53" s="46" t="s">
        <v>142</v>
      </c>
      <c r="U53" s="45">
        <f>IF(T53="S",N53-O53,SMALL((K53,N53),1))</f>
        <v>4.1040780000000003</v>
      </c>
      <c r="V53" s="45">
        <f t="shared" si="7"/>
        <v>14068.779383999999</v>
      </c>
      <c r="W53" s="47">
        <v>1</v>
      </c>
      <c r="X53" s="47">
        <v>1</v>
      </c>
      <c r="Y53" s="45">
        <f>IF(T53="S",Q53,SMALL((J53,Q53),1))</f>
        <v>1.17</v>
      </c>
      <c r="Z53" s="45">
        <f>IF(T53="S",O53,SMALL((I53,O53),1))</f>
        <v>0.41832200000000003</v>
      </c>
      <c r="AA53" s="45">
        <f t="shared" si="8"/>
        <v>5444.77</v>
      </c>
      <c r="AB53" s="45">
        <f t="shared" si="9"/>
        <v>19513.549383999998</v>
      </c>
      <c r="AC53" s="89"/>
    </row>
    <row r="54" spans="1:29" ht="19.5" customHeight="1">
      <c r="A54" s="39" t="s">
        <v>17</v>
      </c>
      <c r="B54" s="39" t="s">
        <v>100</v>
      </c>
      <c r="C54" s="39" t="s">
        <v>101</v>
      </c>
      <c r="D54" s="39" t="s">
        <v>139</v>
      </c>
      <c r="E54" s="39" t="s">
        <v>135</v>
      </c>
      <c r="F54" s="43" t="s">
        <v>214</v>
      </c>
      <c r="G54" s="44">
        <v>9097</v>
      </c>
      <c r="H54" s="45">
        <v>6.7469999999999999</v>
      </c>
      <c r="I54" s="45">
        <f t="shared" si="1"/>
        <v>0.62409749999999997</v>
      </c>
      <c r="J54" s="45">
        <v>1.17</v>
      </c>
      <c r="K54" s="45">
        <f t="shared" si="2"/>
        <v>4.9529025000000004</v>
      </c>
      <c r="L54" s="44">
        <v>0</v>
      </c>
      <c r="M54" s="45">
        <f t="shared" si="3"/>
        <v>0</v>
      </c>
      <c r="N54" s="45">
        <v>4.5224000000000002</v>
      </c>
      <c r="O54" s="45">
        <f t="shared" si="4"/>
        <v>0.41832200000000003</v>
      </c>
      <c r="P54" s="45">
        <f t="shared" si="5"/>
        <v>0</v>
      </c>
      <c r="Q54" s="45">
        <v>1.17</v>
      </c>
      <c r="R54" s="45">
        <f t="shared" si="6"/>
        <v>0</v>
      </c>
      <c r="S54" s="45">
        <f t="shared" si="22"/>
        <v>0</v>
      </c>
      <c r="T54" s="46" t="s">
        <v>142</v>
      </c>
      <c r="U54" s="45">
        <f>IF(T54="S",N54-O54,SMALL((K54,N54),1))</f>
        <v>4.1040780000000003</v>
      </c>
      <c r="V54" s="45">
        <f t="shared" si="7"/>
        <v>37334.797566000001</v>
      </c>
      <c r="W54" s="47">
        <v>1</v>
      </c>
      <c r="X54" s="47">
        <v>1</v>
      </c>
      <c r="Y54" s="45">
        <f>IF(T54="S",Q54,SMALL((J54,Q54),1))</f>
        <v>1.17</v>
      </c>
      <c r="Z54" s="45">
        <f>IF(T54="S",O54,SMALL((I54,O54),1))</f>
        <v>0.41832200000000003</v>
      </c>
      <c r="AA54" s="45">
        <f t="shared" si="8"/>
        <v>14448.97</v>
      </c>
      <c r="AB54" s="45">
        <f t="shared" si="9"/>
        <v>51783.767566000002</v>
      </c>
      <c r="AC54" s="89"/>
    </row>
    <row r="55" spans="1:29" ht="19.5" customHeight="1">
      <c r="A55" s="39" t="s">
        <v>17</v>
      </c>
      <c r="B55" s="39" t="s">
        <v>102</v>
      </c>
      <c r="C55" s="39" t="s">
        <v>103</v>
      </c>
      <c r="D55" s="39" t="s">
        <v>140</v>
      </c>
      <c r="E55" s="39" t="s">
        <v>135</v>
      </c>
      <c r="F55" s="43" t="s">
        <v>214</v>
      </c>
      <c r="G55" s="44">
        <v>0</v>
      </c>
      <c r="H55" s="45">
        <v>6.7469999999999999</v>
      </c>
      <c r="I55" s="45">
        <f t="shared" si="1"/>
        <v>0.62409749999999997</v>
      </c>
      <c r="J55" s="45">
        <v>1.17</v>
      </c>
      <c r="K55" s="45">
        <f t="shared" si="2"/>
        <v>4.9529025000000004</v>
      </c>
      <c r="L55" s="44">
        <v>0</v>
      </c>
      <c r="M55" s="45">
        <f t="shared" si="3"/>
        <v>0</v>
      </c>
      <c r="N55" s="45">
        <v>4.9756840000000002</v>
      </c>
      <c r="O55" s="45">
        <f t="shared" si="4"/>
        <v>0.46025100000000002</v>
      </c>
      <c r="P55" s="45">
        <f t="shared" si="5"/>
        <v>0</v>
      </c>
      <c r="Q55" s="45">
        <v>1.019115992455</v>
      </c>
      <c r="R55" s="45">
        <f t="shared" si="6"/>
        <v>0</v>
      </c>
      <c r="S55" s="45">
        <f t="shared" si="22"/>
        <v>0</v>
      </c>
      <c r="T55" s="46" t="s">
        <v>142</v>
      </c>
      <c r="U55" s="45">
        <f>IF(T55="S",N55-O55,SMALL((K55,N55),1))</f>
        <v>4.5154329999999998</v>
      </c>
      <c r="V55" s="45">
        <f t="shared" si="7"/>
        <v>0</v>
      </c>
      <c r="W55" s="47">
        <v>1</v>
      </c>
      <c r="X55" s="47">
        <v>1</v>
      </c>
      <c r="Y55" s="45">
        <f>IF(T55="S",Q55,SMALL((J55,Q55),1))</f>
        <v>1.019115992455</v>
      </c>
      <c r="Z55" s="45">
        <f>IF(T55="S",O55,SMALL((I55,O55),1))</f>
        <v>0.46025100000000002</v>
      </c>
      <c r="AA55" s="45">
        <f t="shared" si="8"/>
        <v>0</v>
      </c>
      <c r="AB55" s="45">
        <f t="shared" si="9"/>
        <v>0</v>
      </c>
      <c r="AC55" s="89"/>
    </row>
    <row r="56" spans="1:29" ht="19.5" customHeight="1">
      <c r="A56" s="39" t="s">
        <v>17</v>
      </c>
      <c r="B56" s="39" t="s">
        <v>104</v>
      </c>
      <c r="C56" s="39" t="s">
        <v>105</v>
      </c>
      <c r="D56" s="39" t="s">
        <v>140</v>
      </c>
      <c r="E56" s="39" t="s">
        <v>135</v>
      </c>
      <c r="F56" s="43" t="s">
        <v>214</v>
      </c>
      <c r="G56" s="44">
        <v>0</v>
      </c>
      <c r="H56" s="45">
        <v>6.7469999999999999</v>
      </c>
      <c r="I56" s="45">
        <f t="shared" si="1"/>
        <v>0.62409749999999997</v>
      </c>
      <c r="J56" s="45">
        <v>1.17</v>
      </c>
      <c r="K56" s="45">
        <f t="shared" ref="K56" si="32">H56-I56-J56</f>
        <v>4.9529025000000004</v>
      </c>
      <c r="L56" s="44">
        <v>0</v>
      </c>
      <c r="M56" s="45">
        <f t="shared" si="3"/>
        <v>0</v>
      </c>
      <c r="N56" s="45">
        <v>4.9756840000000002</v>
      </c>
      <c r="O56" s="45">
        <f t="shared" si="4"/>
        <v>0.46025100000000002</v>
      </c>
      <c r="P56" s="45">
        <f t="shared" si="5"/>
        <v>0</v>
      </c>
      <c r="Q56" s="45">
        <v>1.019115992455</v>
      </c>
      <c r="R56" s="45">
        <f t="shared" si="6"/>
        <v>0</v>
      </c>
      <c r="S56" s="45">
        <f t="shared" si="22"/>
        <v>0</v>
      </c>
      <c r="T56" s="46" t="s">
        <v>142</v>
      </c>
      <c r="U56" s="45">
        <f>IF(T56="S",N56-O56,SMALL((K56,N56),1))</f>
        <v>4.5154329999999998</v>
      </c>
      <c r="V56" s="45">
        <f t="shared" si="7"/>
        <v>0</v>
      </c>
      <c r="W56" s="47">
        <v>1</v>
      </c>
      <c r="X56" s="47">
        <v>1</v>
      </c>
      <c r="Y56" s="45">
        <f>IF(T56="S",Q56,SMALL((J56,Q56),1))</f>
        <v>1.019115992455</v>
      </c>
      <c r="Z56" s="45">
        <f>IF(T56="S",O56,SMALL((I56,O56),1))</f>
        <v>0.46025100000000002</v>
      </c>
      <c r="AA56" s="45">
        <f t="shared" si="8"/>
        <v>0</v>
      </c>
      <c r="AB56" s="45">
        <f t="shared" ref="AB56" si="33">V56+AA56</f>
        <v>0</v>
      </c>
      <c r="AC56" s="89"/>
    </row>
    <row r="57" spans="1:29" ht="19.5" customHeight="1">
      <c r="A57" s="39" t="s">
        <v>17</v>
      </c>
      <c r="B57" s="39" t="s">
        <v>106</v>
      </c>
      <c r="C57" s="39" t="s">
        <v>107</v>
      </c>
      <c r="D57" s="39" t="s">
        <v>140</v>
      </c>
      <c r="E57" s="39" t="s">
        <v>135</v>
      </c>
      <c r="F57" s="43" t="s">
        <v>214</v>
      </c>
      <c r="G57" s="44">
        <v>346</v>
      </c>
      <c r="H57" s="45">
        <v>6.7469999999999999</v>
      </c>
      <c r="I57" s="45">
        <f t="shared" si="1"/>
        <v>0.62409749999999997</v>
      </c>
      <c r="J57" s="45">
        <v>1.17</v>
      </c>
      <c r="K57" s="45">
        <f t="shared" si="2"/>
        <v>4.9529025000000004</v>
      </c>
      <c r="L57" s="44">
        <v>0</v>
      </c>
      <c r="M57" s="45">
        <f t="shared" si="3"/>
        <v>0</v>
      </c>
      <c r="N57" s="45">
        <v>4.7918000000000003</v>
      </c>
      <c r="O57" s="45">
        <f t="shared" si="4"/>
        <v>0.44324200000000002</v>
      </c>
      <c r="P57" s="45">
        <f t="shared" si="5"/>
        <v>0</v>
      </c>
      <c r="Q57" s="45">
        <v>1.1200000000000001</v>
      </c>
      <c r="R57" s="45">
        <f t="shared" si="6"/>
        <v>0</v>
      </c>
      <c r="S57" s="45">
        <f t="shared" si="22"/>
        <v>0</v>
      </c>
      <c r="T57" s="46" t="s">
        <v>142</v>
      </c>
      <c r="U57" s="45">
        <f>IF(T57="S",N57-O57,SMALL((K57,N57),1))</f>
        <v>4.3485580000000006</v>
      </c>
      <c r="V57" s="45">
        <f t="shared" si="7"/>
        <v>1504.6010679999999</v>
      </c>
      <c r="W57" s="47">
        <v>1</v>
      </c>
      <c r="X57" s="47">
        <v>1</v>
      </c>
      <c r="Y57" s="45">
        <f>IF(T57="S",Q57,SMALL((J57,Q57),1))</f>
        <v>1.1200000000000001</v>
      </c>
      <c r="Z57" s="45">
        <f>IF(T57="S",O57,SMALL((I57,O57),1))</f>
        <v>0.44324200000000002</v>
      </c>
      <c r="AA57" s="45">
        <f t="shared" si="8"/>
        <v>540.88</v>
      </c>
      <c r="AB57" s="45">
        <f t="shared" si="9"/>
        <v>2045.4810680000001</v>
      </c>
      <c r="AC57" s="89"/>
    </row>
    <row r="58" spans="1:29" ht="19.5" customHeight="1">
      <c r="A58" s="39" t="s">
        <v>17</v>
      </c>
      <c r="B58" s="39" t="s">
        <v>148</v>
      </c>
      <c r="C58" s="39" t="s">
        <v>149</v>
      </c>
      <c r="D58" s="39" t="s">
        <v>139</v>
      </c>
      <c r="E58" s="39" t="s">
        <v>135</v>
      </c>
      <c r="F58" s="43" t="s">
        <v>214</v>
      </c>
      <c r="G58" s="44">
        <v>183</v>
      </c>
      <c r="H58" s="45">
        <v>6.7469999999999999</v>
      </c>
      <c r="I58" s="45">
        <f t="shared" si="1"/>
        <v>0.62409749999999997</v>
      </c>
      <c r="J58" s="45">
        <v>1.17</v>
      </c>
      <c r="K58" s="45">
        <f t="shared" si="2"/>
        <v>4.9529025000000004</v>
      </c>
      <c r="L58" s="44">
        <v>0</v>
      </c>
      <c r="M58" s="45">
        <f t="shared" si="3"/>
        <v>0</v>
      </c>
      <c r="N58" s="45">
        <v>4.5224000000000002</v>
      </c>
      <c r="O58" s="45">
        <f t="shared" si="4"/>
        <v>0.41832200000000003</v>
      </c>
      <c r="P58" s="45">
        <f t="shared" si="5"/>
        <v>0</v>
      </c>
      <c r="Q58" s="45">
        <v>1.17</v>
      </c>
      <c r="R58" s="45">
        <f t="shared" si="6"/>
        <v>0</v>
      </c>
      <c r="S58" s="45">
        <f t="shared" si="22"/>
        <v>0</v>
      </c>
      <c r="T58" s="46" t="s">
        <v>142</v>
      </c>
      <c r="U58" s="45">
        <f>IF(T58="S",N58-O58,SMALL((K58,N58),1))</f>
        <v>4.1040780000000003</v>
      </c>
      <c r="V58" s="45">
        <f t="shared" si="7"/>
        <v>751.04627400000004</v>
      </c>
      <c r="W58" s="47">
        <v>1</v>
      </c>
      <c r="X58" s="47">
        <v>1</v>
      </c>
      <c r="Y58" s="45">
        <f>IF(T58="S",Q58,SMALL((J58,Q58),1))</f>
        <v>1.17</v>
      </c>
      <c r="Z58" s="45">
        <f>IF(T58="S",O58,SMALL((I58,O58),1))</f>
        <v>0.41832200000000003</v>
      </c>
      <c r="AA58" s="45">
        <f t="shared" si="8"/>
        <v>290.66000000000003</v>
      </c>
      <c r="AB58" s="45">
        <f t="shared" si="9"/>
        <v>1041.7062740000001</v>
      </c>
      <c r="AC58" s="89"/>
    </row>
    <row r="59" spans="1:29" ht="19.5" customHeight="1">
      <c r="A59" s="39" t="s">
        <v>17</v>
      </c>
      <c r="B59" s="39" t="s">
        <v>108</v>
      </c>
      <c r="C59" s="39" t="s">
        <v>109</v>
      </c>
      <c r="D59" s="39" t="s">
        <v>139</v>
      </c>
      <c r="E59" s="39" t="s">
        <v>135</v>
      </c>
      <c r="F59" s="43" t="s">
        <v>214</v>
      </c>
      <c r="G59" s="44">
        <v>0</v>
      </c>
      <c r="H59" s="45">
        <v>6.7469999999999999</v>
      </c>
      <c r="I59" s="45">
        <f t="shared" si="1"/>
        <v>0.62409749999999997</v>
      </c>
      <c r="J59" s="45">
        <v>1.17</v>
      </c>
      <c r="K59" s="45">
        <f t="shared" si="2"/>
        <v>4.9529025000000004</v>
      </c>
      <c r="L59" s="44">
        <v>0</v>
      </c>
      <c r="M59" s="45">
        <f t="shared" si="3"/>
        <v>0</v>
      </c>
      <c r="N59" s="45">
        <v>4.3563000000000001</v>
      </c>
      <c r="O59" s="45">
        <f t="shared" si="4"/>
        <v>0.40295799999999998</v>
      </c>
      <c r="P59" s="45">
        <f t="shared" si="5"/>
        <v>0</v>
      </c>
      <c r="Q59" s="45">
        <v>1.0634999999999999</v>
      </c>
      <c r="R59" s="45">
        <f t="shared" si="6"/>
        <v>0</v>
      </c>
      <c r="S59" s="45">
        <f t="shared" si="22"/>
        <v>0</v>
      </c>
      <c r="T59" s="46" t="s">
        <v>142</v>
      </c>
      <c r="U59" s="45">
        <f>IF(T59="S",N59-O59,SMALL((K59,N59),1))</f>
        <v>3.9533420000000001</v>
      </c>
      <c r="V59" s="45">
        <f t="shared" si="7"/>
        <v>0</v>
      </c>
      <c r="W59" s="47">
        <v>1</v>
      </c>
      <c r="X59" s="47">
        <v>1</v>
      </c>
      <c r="Y59" s="45">
        <f>IF(T59="S",Q59,SMALL((J59,Q59),1))</f>
        <v>1.0634999999999999</v>
      </c>
      <c r="Z59" s="45">
        <f>IF(T59="S",O59,SMALL((I59,O59),1))</f>
        <v>0.40295799999999998</v>
      </c>
      <c r="AA59" s="45">
        <f t="shared" si="8"/>
        <v>0</v>
      </c>
      <c r="AB59" s="45">
        <f t="shared" si="9"/>
        <v>0</v>
      </c>
      <c r="AC59" s="89"/>
    </row>
    <row r="60" spans="1:29" ht="19.5" customHeight="1">
      <c r="A60" s="39" t="s">
        <v>17</v>
      </c>
      <c r="B60" s="39" t="s">
        <v>110</v>
      </c>
      <c r="C60" s="39" t="s">
        <v>111</v>
      </c>
      <c r="D60" s="39" t="s">
        <v>140</v>
      </c>
      <c r="E60" s="39" t="s">
        <v>135</v>
      </c>
      <c r="F60" s="43" t="s">
        <v>214</v>
      </c>
      <c r="G60" s="44">
        <v>409</v>
      </c>
      <c r="H60" s="45">
        <v>6.7469999999999999</v>
      </c>
      <c r="I60" s="45">
        <f t="shared" si="1"/>
        <v>0.62409749999999997</v>
      </c>
      <c r="J60" s="45">
        <v>1.17</v>
      </c>
      <c r="K60" s="45">
        <f t="shared" si="2"/>
        <v>4.9529025000000004</v>
      </c>
      <c r="L60" s="44">
        <v>0</v>
      </c>
      <c r="M60" s="45">
        <f t="shared" si="3"/>
        <v>0</v>
      </c>
      <c r="N60" s="45">
        <v>4.5224000000000002</v>
      </c>
      <c r="O60" s="45">
        <f t="shared" si="4"/>
        <v>0.41832200000000003</v>
      </c>
      <c r="P60" s="45">
        <f t="shared" si="5"/>
        <v>0</v>
      </c>
      <c r="Q60" s="45">
        <v>1.17</v>
      </c>
      <c r="R60" s="45">
        <f t="shared" si="6"/>
        <v>0</v>
      </c>
      <c r="S60" s="45">
        <f t="shared" si="22"/>
        <v>0</v>
      </c>
      <c r="T60" s="46" t="s">
        <v>142</v>
      </c>
      <c r="U60" s="45">
        <f>IF(T60="S",N60-O60,SMALL((K60,N60),1))</f>
        <v>4.1040780000000003</v>
      </c>
      <c r="V60" s="45">
        <f t="shared" si="7"/>
        <v>1678.567902</v>
      </c>
      <c r="W60" s="47">
        <v>1</v>
      </c>
      <c r="X60" s="47">
        <v>1</v>
      </c>
      <c r="Y60" s="45">
        <f>IF(T60="S",Q60,SMALL((J60,Q60),1))</f>
        <v>1.17</v>
      </c>
      <c r="Z60" s="45">
        <f>IF(T60="S",O60,SMALL((I60,O60),1))</f>
        <v>0.41832200000000003</v>
      </c>
      <c r="AA60" s="45">
        <f t="shared" si="8"/>
        <v>649.62</v>
      </c>
      <c r="AB60" s="45">
        <f t="shared" si="9"/>
        <v>2328.1879020000001</v>
      </c>
      <c r="AC60" s="89"/>
    </row>
    <row r="61" spans="1:29" ht="19.5" customHeight="1">
      <c r="A61" s="39" t="s">
        <v>17</v>
      </c>
      <c r="B61" s="39" t="s">
        <v>112</v>
      </c>
      <c r="C61" s="39" t="s">
        <v>113</v>
      </c>
      <c r="D61" s="39" t="s">
        <v>139</v>
      </c>
      <c r="E61" s="39" t="s">
        <v>135</v>
      </c>
      <c r="F61" s="43" t="s">
        <v>214</v>
      </c>
      <c r="G61" s="44">
        <v>404</v>
      </c>
      <c r="H61" s="45">
        <v>6.7469999999999999</v>
      </c>
      <c r="I61" s="45">
        <f t="shared" si="1"/>
        <v>0.62409749999999997</v>
      </c>
      <c r="J61" s="45">
        <v>1.17</v>
      </c>
      <c r="K61" s="45">
        <f t="shared" si="2"/>
        <v>4.9529025000000004</v>
      </c>
      <c r="L61" s="44">
        <v>0</v>
      </c>
      <c r="M61" s="45">
        <f t="shared" si="3"/>
        <v>0</v>
      </c>
      <c r="N61" s="45">
        <v>4.5224000000000002</v>
      </c>
      <c r="O61" s="45">
        <f t="shared" si="4"/>
        <v>0.41832200000000003</v>
      </c>
      <c r="P61" s="45">
        <f t="shared" si="5"/>
        <v>0</v>
      </c>
      <c r="Q61" s="45">
        <v>1.17</v>
      </c>
      <c r="R61" s="45">
        <f t="shared" si="6"/>
        <v>0</v>
      </c>
      <c r="S61" s="45">
        <f t="shared" si="22"/>
        <v>0</v>
      </c>
      <c r="T61" s="46" t="s">
        <v>142</v>
      </c>
      <c r="U61" s="45">
        <f>IF(T61="S",N61-O61,SMALL((K61,N61),1))</f>
        <v>4.1040780000000003</v>
      </c>
      <c r="V61" s="45">
        <f t="shared" si="7"/>
        <v>1658.0475120000001</v>
      </c>
      <c r="W61" s="47">
        <v>1</v>
      </c>
      <c r="X61" s="47">
        <v>1</v>
      </c>
      <c r="Y61" s="45">
        <f>IF(T61="S",Q61,SMALL((J61,Q61),1))</f>
        <v>1.17</v>
      </c>
      <c r="Z61" s="45">
        <f>IF(T61="S",O61,SMALL((I61,O61),1))</f>
        <v>0.41832200000000003</v>
      </c>
      <c r="AA61" s="45">
        <f t="shared" si="8"/>
        <v>641.67999999999995</v>
      </c>
      <c r="AB61" s="45">
        <f t="shared" si="9"/>
        <v>2299.7275119999999</v>
      </c>
      <c r="AC61" s="89"/>
    </row>
    <row r="62" spans="1:29" ht="19.5" customHeight="1">
      <c r="A62" s="39" t="s">
        <v>17</v>
      </c>
      <c r="B62" s="39" t="s">
        <v>114</v>
      </c>
      <c r="C62" s="39" t="s">
        <v>115</v>
      </c>
      <c r="D62" s="39" t="s">
        <v>140</v>
      </c>
      <c r="E62" s="39" t="s">
        <v>135</v>
      </c>
      <c r="F62" s="43" t="s">
        <v>214</v>
      </c>
      <c r="G62" s="44">
        <v>4258</v>
      </c>
      <c r="H62" s="45">
        <v>6.7469999999999999</v>
      </c>
      <c r="I62" s="45">
        <f t="shared" si="1"/>
        <v>0.62409749999999997</v>
      </c>
      <c r="J62" s="45">
        <v>1.17</v>
      </c>
      <c r="K62" s="45">
        <f t="shared" si="2"/>
        <v>4.9529025000000004</v>
      </c>
      <c r="L62" s="44">
        <v>0</v>
      </c>
      <c r="M62" s="45">
        <f t="shared" si="3"/>
        <v>0</v>
      </c>
      <c r="N62" s="45">
        <v>4.5224000000000002</v>
      </c>
      <c r="O62" s="45">
        <f t="shared" si="4"/>
        <v>0.41832200000000003</v>
      </c>
      <c r="P62" s="45">
        <f t="shared" si="5"/>
        <v>0</v>
      </c>
      <c r="Q62" s="45">
        <v>1.17</v>
      </c>
      <c r="R62" s="45">
        <f t="shared" si="6"/>
        <v>0</v>
      </c>
      <c r="S62" s="45">
        <f t="shared" si="22"/>
        <v>0</v>
      </c>
      <c r="T62" s="46" t="s">
        <v>142</v>
      </c>
      <c r="U62" s="45">
        <f>IF(T62="S",N62-O62,SMALL((K62,N62),1))</f>
        <v>4.1040780000000003</v>
      </c>
      <c r="V62" s="45">
        <f t="shared" si="7"/>
        <v>17475.164123999999</v>
      </c>
      <c r="W62" s="47">
        <v>1</v>
      </c>
      <c r="X62" s="47">
        <v>1</v>
      </c>
      <c r="Y62" s="45">
        <f>IF(T62="S",Q62,SMALL((J62,Q62),1))</f>
        <v>1.17</v>
      </c>
      <c r="Z62" s="45">
        <f>IF(T62="S",O62,SMALL((I62,O62),1))</f>
        <v>0.41832200000000003</v>
      </c>
      <c r="AA62" s="45">
        <f t="shared" si="8"/>
        <v>6763.08</v>
      </c>
      <c r="AB62" s="45">
        <f t="shared" si="9"/>
        <v>24238.244123999997</v>
      </c>
      <c r="AC62" s="89"/>
    </row>
    <row r="63" spans="1:29" ht="19.5" customHeight="1">
      <c r="A63" s="39" t="s">
        <v>17</v>
      </c>
      <c r="B63" s="39" t="s">
        <v>116</v>
      </c>
      <c r="C63" s="39" t="s">
        <v>117</v>
      </c>
      <c r="D63" s="39" t="s">
        <v>140</v>
      </c>
      <c r="E63" s="39" t="s">
        <v>135</v>
      </c>
      <c r="F63" s="43" t="s">
        <v>214</v>
      </c>
      <c r="G63" s="44">
        <v>0</v>
      </c>
      <c r="H63" s="45">
        <v>6.7469999999999999</v>
      </c>
      <c r="I63" s="45">
        <f t="shared" si="1"/>
        <v>0.62409749999999997</v>
      </c>
      <c r="J63" s="45">
        <v>1.17</v>
      </c>
      <c r="K63" s="45">
        <f t="shared" si="2"/>
        <v>4.9529025000000004</v>
      </c>
      <c r="L63" s="44">
        <v>0</v>
      </c>
      <c r="M63" s="45">
        <f t="shared" si="3"/>
        <v>0</v>
      </c>
      <c r="N63" s="45">
        <v>3.5310000000000001</v>
      </c>
      <c r="O63" s="45">
        <f t="shared" si="4"/>
        <v>0.32661800000000002</v>
      </c>
      <c r="P63" s="45">
        <f t="shared" si="5"/>
        <v>0</v>
      </c>
      <c r="Q63" s="45">
        <v>0.94560001108900005</v>
      </c>
      <c r="R63" s="45">
        <f t="shared" si="6"/>
        <v>0</v>
      </c>
      <c r="S63" s="45">
        <f t="shared" si="22"/>
        <v>0</v>
      </c>
      <c r="T63" s="46" t="s">
        <v>142</v>
      </c>
      <c r="U63" s="45">
        <f>IF(T63="S",N63-O63,SMALL((K63,N63),1))</f>
        <v>3.2043820000000003</v>
      </c>
      <c r="V63" s="45">
        <f t="shared" si="7"/>
        <v>0</v>
      </c>
      <c r="W63" s="47">
        <v>1</v>
      </c>
      <c r="X63" s="47">
        <v>1</v>
      </c>
      <c r="Y63" s="45">
        <f>IF(T63="S",Q63,SMALL((J63,Q63),1))</f>
        <v>0.94560001108900005</v>
      </c>
      <c r="Z63" s="45">
        <f>IF(T63="S",O63,SMALL((I63,O63),1))</f>
        <v>0.32661800000000002</v>
      </c>
      <c r="AA63" s="45">
        <f t="shared" si="8"/>
        <v>0</v>
      </c>
      <c r="AB63" s="45">
        <f t="shared" si="9"/>
        <v>0</v>
      </c>
      <c r="AC63" s="89"/>
    </row>
    <row r="64" spans="1:29" ht="19.5" customHeight="1">
      <c r="A64" s="39" t="s">
        <v>17</v>
      </c>
      <c r="B64" s="39" t="s">
        <v>118</v>
      </c>
      <c r="C64" s="39" t="s">
        <v>119</v>
      </c>
      <c r="D64" s="39" t="s">
        <v>140</v>
      </c>
      <c r="E64" s="39" t="s">
        <v>135</v>
      </c>
      <c r="F64" s="43" t="s">
        <v>214</v>
      </c>
      <c r="G64" s="44">
        <v>24456</v>
      </c>
      <c r="H64" s="45">
        <v>6.7469999999999999</v>
      </c>
      <c r="I64" s="45">
        <f t="shared" si="1"/>
        <v>0.62409749999999997</v>
      </c>
      <c r="J64" s="45">
        <v>1.17</v>
      </c>
      <c r="K64" s="45">
        <f t="shared" si="2"/>
        <v>4.9529025000000004</v>
      </c>
      <c r="L64" s="44">
        <v>0</v>
      </c>
      <c r="M64" s="45">
        <f t="shared" si="3"/>
        <v>0</v>
      </c>
      <c r="N64" s="45">
        <v>4.5224000000000002</v>
      </c>
      <c r="O64" s="45">
        <f t="shared" si="4"/>
        <v>0.41832200000000003</v>
      </c>
      <c r="P64" s="45">
        <f t="shared" si="5"/>
        <v>0</v>
      </c>
      <c r="Q64" s="45">
        <v>1.17</v>
      </c>
      <c r="R64" s="45">
        <f t="shared" si="6"/>
        <v>0</v>
      </c>
      <c r="S64" s="45">
        <f t="shared" si="22"/>
        <v>0</v>
      </c>
      <c r="T64" s="46" t="s">
        <v>142</v>
      </c>
      <c r="U64" s="45">
        <f>IF(T64="S",N64-O64,SMALL((K64,N64),1))</f>
        <v>4.1040780000000003</v>
      </c>
      <c r="V64" s="45">
        <f t="shared" si="7"/>
        <v>100369.33156799999</v>
      </c>
      <c r="W64" s="47">
        <v>1</v>
      </c>
      <c r="X64" s="47">
        <v>1</v>
      </c>
      <c r="Y64" s="45">
        <f>IF(T64="S",Q64,SMALL((J64,Q64),1))</f>
        <v>1.17</v>
      </c>
      <c r="Z64" s="45">
        <f>IF(T64="S",O64,SMALL((I64,O64),1))</f>
        <v>0.41832200000000003</v>
      </c>
      <c r="AA64" s="45">
        <f t="shared" si="8"/>
        <v>38844</v>
      </c>
      <c r="AB64" s="45">
        <f t="shared" si="9"/>
        <v>139213.33156799999</v>
      </c>
      <c r="AC64" s="89"/>
    </row>
    <row r="65" spans="1:29" ht="19.5" customHeight="1">
      <c r="A65" s="39" t="s">
        <v>17</v>
      </c>
      <c r="B65" s="39" t="s">
        <v>120</v>
      </c>
      <c r="C65" s="39" t="s">
        <v>121</v>
      </c>
      <c r="D65" s="39" t="s">
        <v>139</v>
      </c>
      <c r="E65" s="39" t="s">
        <v>135</v>
      </c>
      <c r="F65" s="43" t="s">
        <v>214</v>
      </c>
      <c r="G65" s="44">
        <v>28</v>
      </c>
      <c r="H65" s="45">
        <v>6.7469999999999999</v>
      </c>
      <c r="I65" s="45">
        <f t="shared" si="1"/>
        <v>0.62409749999999997</v>
      </c>
      <c r="J65" s="45">
        <v>1.17</v>
      </c>
      <c r="K65" s="45">
        <f t="shared" si="2"/>
        <v>4.9529025000000004</v>
      </c>
      <c r="L65" s="44">
        <v>0</v>
      </c>
      <c r="M65" s="45">
        <f t="shared" si="3"/>
        <v>0</v>
      </c>
      <c r="N65" s="45">
        <v>4.5224000000000002</v>
      </c>
      <c r="O65" s="45">
        <f t="shared" si="4"/>
        <v>0.41832200000000003</v>
      </c>
      <c r="P65" s="45">
        <f t="shared" si="5"/>
        <v>0</v>
      </c>
      <c r="Q65" s="45">
        <v>1.17</v>
      </c>
      <c r="R65" s="45">
        <f t="shared" si="6"/>
        <v>0</v>
      </c>
      <c r="S65" s="45">
        <f t="shared" si="22"/>
        <v>0</v>
      </c>
      <c r="T65" s="46" t="s">
        <v>142</v>
      </c>
      <c r="U65" s="45">
        <f>IF(T65="S",N65-O65,SMALL((K65,N65),1))</f>
        <v>4.1040780000000003</v>
      </c>
      <c r="V65" s="45">
        <f t="shared" si="7"/>
        <v>114.91418400000001</v>
      </c>
      <c r="W65" s="47">
        <v>1</v>
      </c>
      <c r="X65" s="47">
        <v>1</v>
      </c>
      <c r="Y65" s="45">
        <f>IF(T65="S",Q65,SMALL((J65,Q65),1))</f>
        <v>1.17</v>
      </c>
      <c r="Z65" s="45">
        <f>IF(T65="S",O65,SMALL((I65,O65),1))</f>
        <v>0.41832200000000003</v>
      </c>
      <c r="AA65" s="45">
        <f t="shared" si="8"/>
        <v>44.47</v>
      </c>
      <c r="AB65" s="45">
        <f t="shared" si="9"/>
        <v>159.384184</v>
      </c>
      <c r="AC65" s="89"/>
    </row>
    <row r="66" spans="1:29" ht="19.5" customHeight="1">
      <c r="A66" s="39" t="s">
        <v>17</v>
      </c>
      <c r="B66" s="39" t="s">
        <v>122</v>
      </c>
      <c r="C66" s="39" t="s">
        <v>123</v>
      </c>
      <c r="D66" s="39" t="s">
        <v>140</v>
      </c>
      <c r="E66" s="39" t="s">
        <v>135</v>
      </c>
      <c r="F66" s="43" t="s">
        <v>214</v>
      </c>
      <c r="G66" s="44">
        <v>223</v>
      </c>
      <c r="H66" s="45">
        <v>6.7469999999999999</v>
      </c>
      <c r="I66" s="45">
        <f t="shared" si="1"/>
        <v>0.62409749999999997</v>
      </c>
      <c r="J66" s="45">
        <v>1.17</v>
      </c>
      <c r="K66" s="45">
        <f t="shared" si="2"/>
        <v>4.9529025000000004</v>
      </c>
      <c r="L66" s="44">
        <v>0</v>
      </c>
      <c r="M66" s="45">
        <f t="shared" si="3"/>
        <v>0</v>
      </c>
      <c r="N66" s="45">
        <v>4.5224000000000002</v>
      </c>
      <c r="O66" s="45">
        <f t="shared" si="4"/>
        <v>0.41832200000000003</v>
      </c>
      <c r="P66" s="45">
        <f t="shared" si="5"/>
        <v>0</v>
      </c>
      <c r="Q66" s="45">
        <v>1.17</v>
      </c>
      <c r="R66" s="45">
        <f t="shared" si="6"/>
        <v>0</v>
      </c>
      <c r="S66" s="45">
        <f t="shared" si="22"/>
        <v>0</v>
      </c>
      <c r="T66" s="46" t="s">
        <v>142</v>
      </c>
      <c r="U66" s="45">
        <f>IF(T66="S",N66-O66,SMALL((K66,N66),1))</f>
        <v>4.1040780000000003</v>
      </c>
      <c r="V66" s="45">
        <f t="shared" si="7"/>
        <v>915.20939399999997</v>
      </c>
      <c r="W66" s="47">
        <v>1</v>
      </c>
      <c r="X66" s="47">
        <v>1</v>
      </c>
      <c r="Y66" s="45">
        <f>IF(T66="S",Q66,SMALL((J66,Q66),1))</f>
        <v>1.17</v>
      </c>
      <c r="Z66" s="45">
        <f>IF(T66="S",O66,SMALL((I66,O66),1))</f>
        <v>0.41832200000000003</v>
      </c>
      <c r="AA66" s="45">
        <f t="shared" si="8"/>
        <v>354.2</v>
      </c>
      <c r="AB66" s="45">
        <f t="shared" si="9"/>
        <v>1269.409394</v>
      </c>
      <c r="AC66" s="89"/>
    </row>
    <row r="67" spans="1:29" ht="19.5" customHeight="1">
      <c r="A67" s="39" t="s">
        <v>17</v>
      </c>
      <c r="B67" s="39" t="s">
        <v>124</v>
      </c>
      <c r="C67" s="39" t="s">
        <v>125</v>
      </c>
      <c r="D67" s="39" t="s">
        <v>140</v>
      </c>
      <c r="E67" s="39" t="s">
        <v>135</v>
      </c>
      <c r="F67" s="43" t="s">
        <v>214</v>
      </c>
      <c r="G67" s="44">
        <v>0</v>
      </c>
      <c r="H67" s="45">
        <v>6.7469999999999999</v>
      </c>
      <c r="I67" s="45">
        <f t="shared" si="1"/>
        <v>0.62409749999999997</v>
      </c>
      <c r="J67" s="45">
        <v>1.17</v>
      </c>
      <c r="K67" s="45">
        <f t="shared" si="2"/>
        <v>4.9529025000000004</v>
      </c>
      <c r="L67" s="44">
        <v>0</v>
      </c>
      <c r="M67" s="45">
        <f t="shared" si="3"/>
        <v>0</v>
      </c>
      <c r="N67" s="45">
        <v>4.9756840000000002</v>
      </c>
      <c r="O67" s="45">
        <f t="shared" si="4"/>
        <v>0.46025100000000002</v>
      </c>
      <c r="P67" s="45">
        <f t="shared" si="5"/>
        <v>0</v>
      </c>
      <c r="Q67" s="45">
        <v>1.019115992455</v>
      </c>
      <c r="R67" s="45">
        <f t="shared" si="6"/>
        <v>0</v>
      </c>
      <c r="S67" s="45">
        <f t="shared" si="22"/>
        <v>0</v>
      </c>
      <c r="T67" s="46" t="s">
        <v>142</v>
      </c>
      <c r="U67" s="45">
        <f>IF(T67="S",N67-O67,SMALL((K67,N67),1))</f>
        <v>4.5154329999999998</v>
      </c>
      <c r="V67" s="45">
        <f t="shared" si="7"/>
        <v>0</v>
      </c>
      <c r="W67" s="47">
        <v>1</v>
      </c>
      <c r="X67" s="47">
        <v>1</v>
      </c>
      <c r="Y67" s="45">
        <f>IF(T67="S",Q67,SMALL((J67,Q67),1))</f>
        <v>1.019115992455</v>
      </c>
      <c r="Z67" s="45">
        <f>IF(T67="S",O67,SMALL((I67,O67),1))</f>
        <v>0.46025100000000002</v>
      </c>
      <c r="AA67" s="45">
        <f t="shared" si="8"/>
        <v>0</v>
      </c>
      <c r="AB67" s="45">
        <f t="shared" si="9"/>
        <v>0</v>
      </c>
      <c r="AC67" s="89"/>
    </row>
    <row r="68" spans="1:29" ht="19.5" customHeight="1">
      <c r="A68" s="39" t="s">
        <v>17</v>
      </c>
      <c r="B68" s="39" t="s">
        <v>126</v>
      </c>
      <c r="C68" s="39" t="s">
        <v>127</v>
      </c>
      <c r="D68" s="39" t="s">
        <v>140</v>
      </c>
      <c r="E68" s="39" t="s">
        <v>135</v>
      </c>
      <c r="F68" s="43" t="s">
        <v>214</v>
      </c>
      <c r="G68" s="44">
        <v>0</v>
      </c>
      <c r="H68" s="45">
        <v>6.7469999999999999</v>
      </c>
      <c r="I68" s="45">
        <f t="shared" si="1"/>
        <v>0.62409749999999997</v>
      </c>
      <c r="J68" s="45">
        <v>1.17</v>
      </c>
      <c r="K68" s="45">
        <f t="shared" ref="K68:K71" si="34">H68-I68-J68</f>
        <v>4.9529025000000004</v>
      </c>
      <c r="L68" s="44">
        <v>0</v>
      </c>
      <c r="M68" s="45">
        <f t="shared" si="3"/>
        <v>0</v>
      </c>
      <c r="N68" s="45">
        <v>0</v>
      </c>
      <c r="O68" s="45">
        <f t="shared" si="4"/>
        <v>0</v>
      </c>
      <c r="P68" s="45">
        <f t="shared" si="5"/>
        <v>0</v>
      </c>
      <c r="Q68" s="45">
        <v>0</v>
      </c>
      <c r="R68" s="45">
        <f t="shared" si="6"/>
        <v>0</v>
      </c>
      <c r="S68" s="45">
        <f t="shared" si="22"/>
        <v>0</v>
      </c>
      <c r="T68" s="46" t="s">
        <v>142</v>
      </c>
      <c r="U68" s="45">
        <f>IF(T68="S",N68-O68,SMALL((K68,N68),1))</f>
        <v>0</v>
      </c>
      <c r="V68" s="45">
        <f t="shared" si="7"/>
        <v>0</v>
      </c>
      <c r="W68" s="47">
        <v>1</v>
      </c>
      <c r="X68" s="47">
        <v>1</v>
      </c>
      <c r="Y68" s="45">
        <f>IF(T68="S",Q68,SMALL((J68,Q68),1))</f>
        <v>0</v>
      </c>
      <c r="Z68" s="45">
        <f>IF(T68="S",O68,SMALL((I68,O68),1))</f>
        <v>0</v>
      </c>
      <c r="AA68" s="45">
        <f t="shared" si="8"/>
        <v>0</v>
      </c>
      <c r="AB68" s="45">
        <f t="shared" ref="AB68:AB71" si="35">V68+AA68</f>
        <v>0</v>
      </c>
      <c r="AC68" s="89"/>
    </row>
    <row r="69" spans="1:29" ht="19.5" customHeight="1">
      <c r="A69" s="39" t="s">
        <v>17</v>
      </c>
      <c r="B69" s="39" t="s">
        <v>128</v>
      </c>
      <c r="C69" s="39" t="s">
        <v>129</v>
      </c>
      <c r="D69" s="39" t="s">
        <v>141</v>
      </c>
      <c r="E69" s="39" t="s">
        <v>135</v>
      </c>
      <c r="F69" s="43" t="s">
        <v>214</v>
      </c>
      <c r="G69" s="44">
        <v>0</v>
      </c>
      <c r="H69" s="45">
        <v>6.7469999999999999</v>
      </c>
      <c r="I69" s="45">
        <f t="shared" si="1"/>
        <v>0.62409749999999997</v>
      </c>
      <c r="J69" s="45">
        <v>1.17</v>
      </c>
      <c r="K69" s="45">
        <f t="shared" si="34"/>
        <v>4.9529025000000004</v>
      </c>
      <c r="L69" s="44">
        <v>0</v>
      </c>
      <c r="M69" s="45">
        <f t="shared" si="3"/>
        <v>0</v>
      </c>
      <c r="N69" s="45">
        <v>0</v>
      </c>
      <c r="O69" s="45">
        <f t="shared" ref="O69:O71" si="36">ROUND(N69*0.0925,6)</f>
        <v>0</v>
      </c>
      <c r="P69" s="45">
        <f t="shared" ref="P69:P71" si="37">ROUND(O69*L69,6)</f>
        <v>0</v>
      </c>
      <c r="Q69" s="45">
        <v>0</v>
      </c>
      <c r="R69" s="45">
        <f t="shared" ref="R69:R71" si="38">ROUND(L69*Q69,6)</f>
        <v>0</v>
      </c>
      <c r="S69" s="45">
        <f t="shared" ref="S69:S71" si="39">M69-R69-P69</f>
        <v>0</v>
      </c>
      <c r="T69" s="46" t="s">
        <v>142</v>
      </c>
      <c r="U69" s="45">
        <f>IF(T69="S",N69-O69,SMALL((K69,N69),1))</f>
        <v>0</v>
      </c>
      <c r="V69" s="45">
        <f t="shared" ref="V69:V71" si="40">ROUND(G69*U69,6)</f>
        <v>0</v>
      </c>
      <c r="W69" s="47">
        <v>1</v>
      </c>
      <c r="X69" s="47">
        <v>1</v>
      </c>
      <c r="Y69" s="45">
        <f>IF(T69="S",Q69,SMALL((J69,Q69),1))</f>
        <v>0</v>
      </c>
      <c r="Z69" s="45">
        <f>IF(T69="S",O69,SMALL((I69,O69),1))</f>
        <v>0</v>
      </c>
      <c r="AA69" s="45">
        <f t="shared" ref="AA69:AA71" si="41">ROUND(((G69*Y69)*W69)+((G69*Z69)*X69),2)</f>
        <v>0</v>
      </c>
      <c r="AB69" s="45">
        <f t="shared" si="35"/>
        <v>0</v>
      </c>
      <c r="AC69" s="89"/>
    </row>
    <row r="70" spans="1:29" ht="19.5" customHeight="1">
      <c r="A70" s="39" t="s">
        <v>17</v>
      </c>
      <c r="B70" s="39" t="s">
        <v>130</v>
      </c>
      <c r="C70" s="39" t="s">
        <v>131</v>
      </c>
      <c r="D70" s="39" t="s">
        <v>139</v>
      </c>
      <c r="E70" s="39" t="s">
        <v>135</v>
      </c>
      <c r="F70" s="43" t="s">
        <v>214</v>
      </c>
      <c r="G70" s="44">
        <v>2427</v>
      </c>
      <c r="H70" s="45">
        <v>6.7469999999999999</v>
      </c>
      <c r="I70" s="45">
        <f t="shared" ref="I70:I71" si="42">H70*0.0925</f>
        <v>0.62409749999999997</v>
      </c>
      <c r="J70" s="45">
        <v>1.17</v>
      </c>
      <c r="K70" s="45">
        <f t="shared" si="34"/>
        <v>4.9529025000000004</v>
      </c>
      <c r="L70" s="44">
        <v>0</v>
      </c>
      <c r="M70" s="45">
        <f t="shared" ref="M70:M71" si="43">(N70+O70)*L70</f>
        <v>0</v>
      </c>
      <c r="N70" s="45">
        <v>4.5224000000000002</v>
      </c>
      <c r="O70" s="45">
        <f t="shared" si="36"/>
        <v>0.41832200000000003</v>
      </c>
      <c r="P70" s="45">
        <f t="shared" si="37"/>
        <v>0</v>
      </c>
      <c r="Q70" s="45">
        <v>1.17</v>
      </c>
      <c r="R70" s="45">
        <f t="shared" si="38"/>
        <v>0</v>
      </c>
      <c r="S70" s="45">
        <f t="shared" si="39"/>
        <v>0</v>
      </c>
      <c r="T70" s="46" t="s">
        <v>142</v>
      </c>
      <c r="U70" s="45">
        <f>IF(T70="S",N70-O70,SMALL((K70,N70),1))</f>
        <v>4.1040780000000003</v>
      </c>
      <c r="V70" s="45">
        <f t="shared" si="40"/>
        <v>9960.5973059999997</v>
      </c>
      <c r="W70" s="47">
        <v>1</v>
      </c>
      <c r="X70" s="47">
        <v>1</v>
      </c>
      <c r="Y70" s="45">
        <f>IF(T70="S",Q70,SMALL((J70,Q70),1))</f>
        <v>1.17</v>
      </c>
      <c r="Z70" s="45">
        <f>IF(T70="S",O70,SMALL((I70,O70),1))</f>
        <v>0.41832200000000003</v>
      </c>
      <c r="AA70" s="45">
        <f t="shared" si="41"/>
        <v>3854.86</v>
      </c>
      <c r="AB70" s="45">
        <f t="shared" si="35"/>
        <v>13815.457306</v>
      </c>
      <c r="AC70" s="89"/>
    </row>
    <row r="71" spans="1:29" ht="19.5" customHeight="1">
      <c r="A71" s="39" t="s">
        <v>17</v>
      </c>
      <c r="B71" s="39" t="s">
        <v>132</v>
      </c>
      <c r="C71" s="39" t="s">
        <v>133</v>
      </c>
      <c r="D71" s="39" t="s">
        <v>140</v>
      </c>
      <c r="E71" s="39" t="s">
        <v>135</v>
      </c>
      <c r="F71" s="43" t="s">
        <v>214</v>
      </c>
      <c r="G71" s="44">
        <v>0</v>
      </c>
      <c r="H71" s="45">
        <v>6.7469999999999999</v>
      </c>
      <c r="I71" s="45">
        <f t="shared" si="42"/>
        <v>0.62409749999999997</v>
      </c>
      <c r="J71" s="45">
        <v>1.17</v>
      </c>
      <c r="K71" s="45">
        <f t="shared" si="34"/>
        <v>4.9529025000000004</v>
      </c>
      <c r="L71" s="44">
        <v>0</v>
      </c>
      <c r="M71" s="45">
        <f t="shared" si="43"/>
        <v>0</v>
      </c>
      <c r="N71" s="45">
        <v>4.7918000000000003</v>
      </c>
      <c r="O71" s="45">
        <f t="shared" si="36"/>
        <v>0.44324200000000002</v>
      </c>
      <c r="P71" s="45">
        <f t="shared" si="37"/>
        <v>0</v>
      </c>
      <c r="Q71" s="45">
        <v>1.1200000000000001</v>
      </c>
      <c r="R71" s="45">
        <f t="shared" si="38"/>
        <v>0</v>
      </c>
      <c r="S71" s="45">
        <f t="shared" si="39"/>
        <v>0</v>
      </c>
      <c r="T71" s="46" t="s">
        <v>142</v>
      </c>
      <c r="U71" s="45">
        <f>IF(T71="S",N71-O71,SMALL((K71,N71),1))</f>
        <v>4.3485580000000006</v>
      </c>
      <c r="V71" s="45">
        <f t="shared" si="40"/>
        <v>0</v>
      </c>
      <c r="W71" s="47">
        <v>1</v>
      </c>
      <c r="X71" s="47">
        <v>1</v>
      </c>
      <c r="Y71" s="45">
        <f>IF(T71="S",Q71,SMALL((J71,Q71),1))</f>
        <v>1.1200000000000001</v>
      </c>
      <c r="Z71" s="45">
        <f>IF(T71="S",O71,SMALL((I71,O71),1))</f>
        <v>0.44324200000000002</v>
      </c>
      <c r="AA71" s="45">
        <f t="shared" si="41"/>
        <v>0</v>
      </c>
      <c r="AB71" s="45">
        <f t="shared" si="35"/>
        <v>0</v>
      </c>
      <c r="AC71" s="89"/>
    </row>
    <row r="72" spans="1:29" s="24" customFormat="1" ht="19.5" customHeight="1">
      <c r="A72" s="18"/>
      <c r="B72" s="18"/>
      <c r="C72" s="18"/>
      <c r="D72" s="18"/>
      <c r="E72" s="19"/>
      <c r="F72" s="20"/>
      <c r="G72" s="48">
        <f>SUM(G4:G71)</f>
        <v>138070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1"/>
      <c r="V72" s="23"/>
      <c r="W72" s="23"/>
      <c r="X72" s="21"/>
      <c r="Y72" s="21"/>
      <c r="Z72" s="21"/>
      <c r="AA72" s="17"/>
      <c r="AB72" s="48">
        <f>SUM(AB4:AB71)</f>
        <v>830280.94145099993</v>
      </c>
      <c r="AC72" s="91"/>
    </row>
    <row r="74" spans="1:29" ht="19.5" customHeight="1">
      <c r="AB74" s="74"/>
    </row>
    <row r="77" spans="1:29" ht="19.5" customHeight="1">
      <c r="AB77" s="7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3"/>
  <sheetViews>
    <sheetView showGridLines="0" zoomScale="85" zoomScaleNormal="85" workbookViewId="0">
      <selection activeCell="K73" sqref="K73"/>
    </sheetView>
  </sheetViews>
  <sheetFormatPr defaultColWidth="9.1640625" defaultRowHeight="19.5" customHeight="1"/>
  <cols>
    <col min="1" max="1" width="30.6640625" customWidth="1"/>
    <col min="2" max="2" width="26.6640625" customWidth="1"/>
    <col min="3" max="3" width="37.6640625" customWidth="1"/>
    <col min="4" max="15" width="20.6640625" customWidth="1"/>
    <col min="16" max="24" width="16.1640625" customWidth="1"/>
  </cols>
  <sheetData>
    <row r="1" spans="1:14" ht="49.5" customHeight="1">
      <c r="C1" s="51" t="str">
        <f>RESUMO!C1</f>
        <v>reembolso mensal CCC - RORAIMA</v>
      </c>
    </row>
    <row r="2" spans="1:14" ht="30" customHeight="1">
      <c r="C2" s="33" t="s">
        <v>239</v>
      </c>
      <c r="D2" s="13">
        <f>RESUMO!C2</f>
        <v>46143</v>
      </c>
      <c r="F2" s="5"/>
      <c r="H2" s="5"/>
      <c r="J2" s="5"/>
    </row>
    <row r="3" spans="1:14" s="9" customFormat="1" ht="42">
      <c r="A3" s="42" t="s">
        <v>216</v>
      </c>
      <c r="B3" s="42" t="s">
        <v>4</v>
      </c>
      <c r="C3" s="42" t="s">
        <v>217</v>
      </c>
      <c r="D3" s="42" t="s">
        <v>245</v>
      </c>
      <c r="E3" s="42" t="s">
        <v>246</v>
      </c>
      <c r="F3" s="42" t="s">
        <v>247</v>
      </c>
      <c r="G3" s="42" t="s">
        <v>248</v>
      </c>
      <c r="H3" s="42" t="s">
        <v>8</v>
      </c>
      <c r="I3" s="42" t="s">
        <v>234</v>
      </c>
      <c r="J3" s="42" t="s">
        <v>249</v>
      </c>
      <c r="K3" s="42" t="s">
        <v>250</v>
      </c>
      <c r="L3" s="5"/>
      <c r="M3" s="5"/>
      <c r="N3" s="5"/>
    </row>
    <row r="4" spans="1:14" ht="19.5" customHeight="1">
      <c r="A4" s="39" t="s">
        <v>17</v>
      </c>
      <c r="B4" s="39" t="s">
        <v>18</v>
      </c>
      <c r="C4" s="39" t="s">
        <v>19</v>
      </c>
      <c r="D4" s="44">
        <v>0</v>
      </c>
      <c r="E4" s="44">
        <v>0</v>
      </c>
      <c r="F4" s="45">
        <v>0</v>
      </c>
      <c r="G4" s="45">
        <f>IFERROR(F4/E4,0)</f>
        <v>0</v>
      </c>
      <c r="H4" s="57">
        <f t="shared" ref="H4:H58" si="0">G4*0.0925</f>
        <v>0</v>
      </c>
      <c r="I4" s="58">
        <v>1</v>
      </c>
      <c r="J4" s="57">
        <f t="shared" ref="J4:J58" si="1">(G4-H4)+(H4*I4)</f>
        <v>0</v>
      </c>
      <c r="K4" s="57">
        <f>J4*D4</f>
        <v>0</v>
      </c>
    </row>
    <row r="5" spans="1:14" ht="19.5" customHeight="1">
      <c r="A5" s="39" t="s">
        <v>17</v>
      </c>
      <c r="B5" s="39" t="s">
        <v>20</v>
      </c>
      <c r="C5" s="39" t="s">
        <v>21</v>
      </c>
      <c r="D5" s="44">
        <v>0</v>
      </c>
      <c r="E5" s="44">
        <v>2300</v>
      </c>
      <c r="F5" s="45">
        <v>3569.05</v>
      </c>
      <c r="G5" s="45">
        <f t="shared" ref="G5:G68" si="2">IFERROR(F5/E5,0)</f>
        <v>1.5517608695652174</v>
      </c>
      <c r="H5" s="57">
        <f t="shared" si="0"/>
        <v>0.14353788043478261</v>
      </c>
      <c r="I5" s="58">
        <v>1</v>
      </c>
      <c r="J5" s="57">
        <f t="shared" si="1"/>
        <v>1.5517608695652174</v>
      </c>
      <c r="K5" s="57">
        <f t="shared" ref="K5:K58" si="3">J5*D5</f>
        <v>0</v>
      </c>
    </row>
    <row r="6" spans="1:14" ht="19.5" customHeight="1">
      <c r="A6" s="39" t="s">
        <v>17</v>
      </c>
      <c r="B6" s="39" t="s">
        <v>22</v>
      </c>
      <c r="C6" s="39" t="s">
        <v>23</v>
      </c>
      <c r="D6" s="44">
        <v>453</v>
      </c>
      <c r="E6" s="44">
        <v>400</v>
      </c>
      <c r="F6" s="45">
        <v>44.2</v>
      </c>
      <c r="G6" s="45">
        <f t="shared" si="2"/>
        <v>0.1105</v>
      </c>
      <c r="H6" s="57">
        <f t="shared" si="0"/>
        <v>1.0221249999999999E-2</v>
      </c>
      <c r="I6" s="58">
        <v>1</v>
      </c>
      <c r="J6" s="57">
        <f t="shared" si="1"/>
        <v>0.1105</v>
      </c>
      <c r="K6" s="57">
        <f t="shared" si="3"/>
        <v>50.0565</v>
      </c>
    </row>
    <row r="7" spans="1:14" ht="19.5" customHeight="1">
      <c r="A7" s="39" t="s">
        <v>17</v>
      </c>
      <c r="B7" s="39" t="s">
        <v>24</v>
      </c>
      <c r="C7" s="39" t="s">
        <v>25</v>
      </c>
      <c r="D7" s="44">
        <v>4180</v>
      </c>
      <c r="E7" s="44">
        <v>6700</v>
      </c>
      <c r="F7" s="45">
        <v>11144.9</v>
      </c>
      <c r="G7" s="45">
        <f t="shared" si="2"/>
        <v>1.6634179104477611</v>
      </c>
      <c r="H7" s="57">
        <f t="shared" si="0"/>
        <v>0.1538661567164179</v>
      </c>
      <c r="I7" s="58">
        <v>1</v>
      </c>
      <c r="J7" s="57">
        <f t="shared" si="1"/>
        <v>1.6634179104477611</v>
      </c>
      <c r="K7" s="57">
        <f t="shared" si="3"/>
        <v>6953.0868656716411</v>
      </c>
    </row>
    <row r="8" spans="1:14" ht="19.5" customHeight="1">
      <c r="A8" s="39" t="s">
        <v>17</v>
      </c>
      <c r="B8" s="39" t="s">
        <v>146</v>
      </c>
      <c r="C8" s="39" t="s">
        <v>147</v>
      </c>
      <c r="D8" s="44">
        <v>0</v>
      </c>
      <c r="E8" s="44">
        <v>0</v>
      </c>
      <c r="F8" s="45">
        <v>0</v>
      </c>
      <c r="G8" s="45">
        <f t="shared" si="2"/>
        <v>0</v>
      </c>
      <c r="H8" s="57">
        <f t="shared" si="0"/>
        <v>0</v>
      </c>
      <c r="I8" s="58">
        <v>1</v>
      </c>
      <c r="J8" s="57">
        <f t="shared" si="1"/>
        <v>0</v>
      </c>
      <c r="K8" s="57">
        <f t="shared" si="3"/>
        <v>0</v>
      </c>
    </row>
    <row r="9" spans="1:14" ht="19.5" customHeight="1">
      <c r="A9" s="39" t="s">
        <v>17</v>
      </c>
      <c r="B9" s="39" t="s">
        <v>26</v>
      </c>
      <c r="C9" s="39" t="s">
        <v>27</v>
      </c>
      <c r="D9" s="44">
        <v>0</v>
      </c>
      <c r="E9" s="44">
        <v>0</v>
      </c>
      <c r="F9" s="45">
        <v>0</v>
      </c>
      <c r="G9" s="45">
        <f t="shared" si="2"/>
        <v>0</v>
      </c>
      <c r="H9" s="57">
        <f t="shared" ref="H9" si="4">G9*0.0925</f>
        <v>0</v>
      </c>
      <c r="I9" s="58">
        <v>1</v>
      </c>
      <c r="J9" s="57">
        <f t="shared" ref="J9" si="5">(G9-H9)+(H9*I9)</f>
        <v>0</v>
      </c>
      <c r="K9" s="57">
        <f t="shared" ref="K9" si="6">J9*D9</f>
        <v>0</v>
      </c>
    </row>
    <row r="10" spans="1:14" ht="19.5" customHeight="1">
      <c r="A10" s="39" t="s">
        <v>17</v>
      </c>
      <c r="B10" s="39" t="s">
        <v>28</v>
      </c>
      <c r="C10" s="39" t="s">
        <v>29</v>
      </c>
      <c r="D10" s="44">
        <v>0</v>
      </c>
      <c r="E10" s="44">
        <v>5000</v>
      </c>
      <c r="F10" s="45">
        <v>1994.85</v>
      </c>
      <c r="G10" s="45">
        <f t="shared" si="2"/>
        <v>0.39896999999999999</v>
      </c>
      <c r="H10" s="57">
        <f t="shared" si="0"/>
        <v>3.6904724999999999E-2</v>
      </c>
      <c r="I10" s="58">
        <v>1</v>
      </c>
      <c r="J10" s="57">
        <f t="shared" si="1"/>
        <v>0.39896999999999994</v>
      </c>
      <c r="K10" s="57">
        <f t="shared" si="3"/>
        <v>0</v>
      </c>
    </row>
    <row r="11" spans="1:14" ht="19.5" customHeight="1">
      <c r="A11" s="39" t="s">
        <v>17</v>
      </c>
      <c r="B11" s="39" t="s">
        <v>30</v>
      </c>
      <c r="C11" s="39" t="s">
        <v>31</v>
      </c>
      <c r="D11" s="44">
        <v>551</v>
      </c>
      <c r="E11" s="44">
        <v>1200</v>
      </c>
      <c r="F11" s="45">
        <v>44.2</v>
      </c>
      <c r="G11" s="45">
        <f t="shared" si="2"/>
        <v>3.6833333333333336E-2</v>
      </c>
      <c r="H11" s="57">
        <f t="shared" si="0"/>
        <v>3.4070833333333336E-3</v>
      </c>
      <c r="I11" s="58">
        <v>1</v>
      </c>
      <c r="J11" s="57">
        <f t="shared" si="1"/>
        <v>3.6833333333333336E-2</v>
      </c>
      <c r="K11" s="57">
        <f t="shared" si="3"/>
        <v>20.295166666666667</v>
      </c>
    </row>
    <row r="12" spans="1:14" ht="19.5" customHeight="1">
      <c r="A12" s="39" t="s">
        <v>17</v>
      </c>
      <c r="B12" s="39" t="s">
        <v>32</v>
      </c>
      <c r="C12" s="39" t="s">
        <v>33</v>
      </c>
      <c r="D12" s="44">
        <v>0</v>
      </c>
      <c r="E12" s="44">
        <v>3700</v>
      </c>
      <c r="F12" s="45">
        <v>2520.9</v>
      </c>
      <c r="G12" s="45">
        <f t="shared" si="2"/>
        <v>0.68132432432432433</v>
      </c>
      <c r="H12" s="57">
        <f t="shared" si="0"/>
        <v>6.3022499999999995E-2</v>
      </c>
      <c r="I12" s="58">
        <v>1</v>
      </c>
      <c r="J12" s="57">
        <f t="shared" si="1"/>
        <v>0.68132432432432433</v>
      </c>
      <c r="K12" s="57">
        <f t="shared" si="3"/>
        <v>0</v>
      </c>
    </row>
    <row r="13" spans="1:14" ht="19.5" customHeight="1">
      <c r="A13" s="39" t="s">
        <v>17</v>
      </c>
      <c r="B13" s="39" t="s">
        <v>34</v>
      </c>
      <c r="C13" s="39" t="s">
        <v>35</v>
      </c>
      <c r="D13" s="44">
        <v>0</v>
      </c>
      <c r="E13" s="44">
        <v>150</v>
      </c>
      <c r="F13" s="45">
        <v>36.85</v>
      </c>
      <c r="G13" s="45">
        <f t="shared" si="2"/>
        <v>0.24566666666666667</v>
      </c>
      <c r="H13" s="57">
        <f t="shared" si="0"/>
        <v>2.2724166666666667E-2</v>
      </c>
      <c r="I13" s="58">
        <v>1</v>
      </c>
      <c r="J13" s="57">
        <f t="shared" si="1"/>
        <v>0.24566666666666667</v>
      </c>
      <c r="K13" s="57">
        <f t="shared" si="3"/>
        <v>0</v>
      </c>
    </row>
    <row r="14" spans="1:14" ht="19.5" customHeight="1">
      <c r="A14" s="39" t="s">
        <v>17</v>
      </c>
      <c r="B14" s="39" t="s">
        <v>159</v>
      </c>
      <c r="C14" s="39" t="s">
        <v>160</v>
      </c>
      <c r="D14" s="44">
        <v>175</v>
      </c>
      <c r="E14" s="44">
        <v>250</v>
      </c>
      <c r="F14" s="45">
        <v>44.2</v>
      </c>
      <c r="G14" s="45">
        <f t="shared" si="2"/>
        <v>0.17680000000000001</v>
      </c>
      <c r="H14" s="57">
        <f t="shared" si="0"/>
        <v>1.6354E-2</v>
      </c>
      <c r="I14" s="58">
        <v>1</v>
      </c>
      <c r="J14" s="57">
        <f t="shared" si="1"/>
        <v>0.17680000000000001</v>
      </c>
      <c r="K14" s="57">
        <f t="shared" si="3"/>
        <v>30.94</v>
      </c>
    </row>
    <row r="15" spans="1:14" ht="19.5" customHeight="1">
      <c r="A15" s="39" t="s">
        <v>17</v>
      </c>
      <c r="B15" s="39" t="s">
        <v>161</v>
      </c>
      <c r="C15" s="39" t="s">
        <v>162</v>
      </c>
      <c r="D15" s="44">
        <v>0</v>
      </c>
      <c r="E15" s="44">
        <v>0</v>
      </c>
      <c r="F15" s="45">
        <v>0</v>
      </c>
      <c r="G15" s="45">
        <f t="shared" si="2"/>
        <v>0</v>
      </c>
      <c r="H15" s="57">
        <f t="shared" si="0"/>
        <v>0</v>
      </c>
      <c r="I15" s="58">
        <v>1</v>
      </c>
      <c r="J15" s="57">
        <f t="shared" si="1"/>
        <v>0</v>
      </c>
      <c r="K15" s="57">
        <f t="shared" si="3"/>
        <v>0</v>
      </c>
    </row>
    <row r="16" spans="1:14" ht="19.5" customHeight="1">
      <c r="A16" s="39" t="s">
        <v>17</v>
      </c>
      <c r="B16" s="39" t="s">
        <v>163</v>
      </c>
      <c r="C16" s="39" t="s">
        <v>164</v>
      </c>
      <c r="D16" s="44">
        <v>0</v>
      </c>
      <c r="E16" s="44">
        <v>0</v>
      </c>
      <c r="F16" s="45">
        <v>0</v>
      </c>
      <c r="G16" s="45">
        <f t="shared" si="2"/>
        <v>0</v>
      </c>
      <c r="H16" s="57">
        <f t="shared" si="0"/>
        <v>0</v>
      </c>
      <c r="I16" s="58">
        <v>1</v>
      </c>
      <c r="J16" s="57">
        <f t="shared" si="1"/>
        <v>0</v>
      </c>
      <c r="K16" s="57">
        <f t="shared" si="3"/>
        <v>0</v>
      </c>
    </row>
    <row r="17" spans="1:11" ht="19.5" customHeight="1">
      <c r="A17" s="39" t="s">
        <v>17</v>
      </c>
      <c r="B17" s="39" t="s">
        <v>36</v>
      </c>
      <c r="C17" s="39" t="s">
        <v>37</v>
      </c>
      <c r="D17" s="44">
        <v>0</v>
      </c>
      <c r="E17" s="44">
        <v>0</v>
      </c>
      <c r="F17" s="45">
        <v>0</v>
      </c>
      <c r="G17" s="45">
        <f t="shared" si="2"/>
        <v>0</v>
      </c>
      <c r="H17" s="57">
        <f t="shared" si="0"/>
        <v>0</v>
      </c>
      <c r="I17" s="58">
        <v>1</v>
      </c>
      <c r="J17" s="57">
        <f t="shared" si="1"/>
        <v>0</v>
      </c>
      <c r="K17" s="57">
        <f t="shared" si="3"/>
        <v>0</v>
      </c>
    </row>
    <row r="18" spans="1:11" ht="19.5" customHeight="1">
      <c r="A18" s="39" t="s">
        <v>17</v>
      </c>
      <c r="B18" s="39" t="s">
        <v>38</v>
      </c>
      <c r="C18" s="39" t="s">
        <v>39</v>
      </c>
      <c r="D18" s="44">
        <v>0</v>
      </c>
      <c r="E18" s="44">
        <v>0</v>
      </c>
      <c r="F18" s="45">
        <v>0</v>
      </c>
      <c r="G18" s="45">
        <f t="shared" si="2"/>
        <v>0</v>
      </c>
      <c r="H18" s="57">
        <f t="shared" si="0"/>
        <v>0</v>
      </c>
      <c r="I18" s="58">
        <v>1</v>
      </c>
      <c r="J18" s="57">
        <f t="shared" si="1"/>
        <v>0</v>
      </c>
      <c r="K18" s="57">
        <f t="shared" si="3"/>
        <v>0</v>
      </c>
    </row>
    <row r="19" spans="1:11" ht="19.5" customHeight="1">
      <c r="A19" s="39" t="s">
        <v>17</v>
      </c>
      <c r="B19" s="39" t="s">
        <v>42</v>
      </c>
      <c r="C19" s="39" t="s">
        <v>43</v>
      </c>
      <c r="D19" s="44">
        <v>770</v>
      </c>
      <c r="E19" s="44">
        <v>850</v>
      </c>
      <c r="F19" s="45">
        <v>2743.65</v>
      </c>
      <c r="G19" s="45">
        <f t="shared" si="2"/>
        <v>3.227823529411765</v>
      </c>
      <c r="H19" s="57">
        <f t="shared" si="0"/>
        <v>0.29857367647058825</v>
      </c>
      <c r="I19" s="58">
        <v>1</v>
      </c>
      <c r="J19" s="57">
        <f t="shared" si="1"/>
        <v>3.227823529411765</v>
      </c>
      <c r="K19" s="57">
        <f t="shared" si="3"/>
        <v>2485.4241176470591</v>
      </c>
    </row>
    <row r="20" spans="1:11" ht="19.5" customHeight="1">
      <c r="A20" s="39" t="s">
        <v>17</v>
      </c>
      <c r="B20" s="39" t="s">
        <v>40</v>
      </c>
      <c r="C20" s="39" t="s">
        <v>41</v>
      </c>
      <c r="D20" s="44">
        <v>0</v>
      </c>
      <c r="E20" s="44">
        <v>1400</v>
      </c>
      <c r="F20" s="45">
        <v>1697.28</v>
      </c>
      <c r="G20" s="45">
        <f t="shared" si="2"/>
        <v>1.2123428571428572</v>
      </c>
      <c r="H20" s="57">
        <f t="shared" si="0"/>
        <v>0.11214171428571429</v>
      </c>
      <c r="I20" s="58">
        <v>1</v>
      </c>
      <c r="J20" s="57">
        <f t="shared" si="1"/>
        <v>1.2123428571428572</v>
      </c>
      <c r="K20" s="57">
        <f t="shared" si="3"/>
        <v>0</v>
      </c>
    </row>
    <row r="21" spans="1:11" ht="19.5" customHeight="1">
      <c r="A21" s="39" t="s">
        <v>17</v>
      </c>
      <c r="B21" s="39" t="s">
        <v>44</v>
      </c>
      <c r="C21" s="39" t="s">
        <v>45</v>
      </c>
      <c r="D21" s="44">
        <v>0</v>
      </c>
      <c r="E21" s="44">
        <v>5000</v>
      </c>
      <c r="F21" s="45">
        <v>4908.8</v>
      </c>
      <c r="G21" s="45">
        <f t="shared" si="2"/>
        <v>0.98176000000000008</v>
      </c>
      <c r="H21" s="57">
        <f t="shared" si="0"/>
        <v>9.0812800000000013E-2</v>
      </c>
      <c r="I21" s="58">
        <v>1</v>
      </c>
      <c r="J21" s="57">
        <f t="shared" si="1"/>
        <v>0.98176000000000008</v>
      </c>
      <c r="K21" s="57">
        <f t="shared" si="3"/>
        <v>0</v>
      </c>
    </row>
    <row r="22" spans="1:11" ht="19.5" customHeight="1">
      <c r="A22" s="39" t="s">
        <v>17</v>
      </c>
      <c r="B22" s="39" t="s">
        <v>46</v>
      </c>
      <c r="C22" s="39" t="s">
        <v>47</v>
      </c>
      <c r="D22" s="44">
        <v>0</v>
      </c>
      <c r="E22" s="44">
        <v>0</v>
      </c>
      <c r="F22" s="45">
        <v>0</v>
      </c>
      <c r="G22" s="45">
        <f t="shared" si="2"/>
        <v>0</v>
      </c>
      <c r="H22" s="57">
        <f t="shared" si="0"/>
        <v>0</v>
      </c>
      <c r="I22" s="58">
        <v>1</v>
      </c>
      <c r="J22" s="57">
        <f t="shared" si="1"/>
        <v>0</v>
      </c>
      <c r="K22" s="57">
        <f t="shared" si="3"/>
        <v>0</v>
      </c>
    </row>
    <row r="23" spans="1:11" ht="19.5" customHeight="1">
      <c r="A23" s="39" t="s">
        <v>17</v>
      </c>
      <c r="B23" s="39" t="s">
        <v>48</v>
      </c>
      <c r="C23" s="39" t="s">
        <v>49</v>
      </c>
      <c r="D23" s="44">
        <v>0</v>
      </c>
      <c r="E23" s="44">
        <v>0</v>
      </c>
      <c r="F23" s="45">
        <v>0</v>
      </c>
      <c r="G23" s="45">
        <f t="shared" si="2"/>
        <v>0</v>
      </c>
      <c r="H23" s="57">
        <f t="shared" si="0"/>
        <v>0</v>
      </c>
      <c r="I23" s="58">
        <v>1</v>
      </c>
      <c r="J23" s="57">
        <f t="shared" si="1"/>
        <v>0</v>
      </c>
      <c r="K23" s="57">
        <f t="shared" si="3"/>
        <v>0</v>
      </c>
    </row>
    <row r="24" spans="1:11" ht="19.5" customHeight="1">
      <c r="A24" s="39" t="s">
        <v>17</v>
      </c>
      <c r="B24" s="39" t="s">
        <v>50</v>
      </c>
      <c r="C24" s="39" t="s">
        <v>51</v>
      </c>
      <c r="D24" s="44">
        <v>0</v>
      </c>
      <c r="E24" s="44">
        <v>0</v>
      </c>
      <c r="F24" s="45">
        <v>0</v>
      </c>
      <c r="G24" s="45">
        <f t="shared" si="2"/>
        <v>0</v>
      </c>
      <c r="H24" s="57">
        <f t="shared" si="0"/>
        <v>0</v>
      </c>
      <c r="I24" s="58">
        <v>1</v>
      </c>
      <c r="J24" s="57">
        <f t="shared" si="1"/>
        <v>0</v>
      </c>
      <c r="K24" s="57">
        <f t="shared" si="3"/>
        <v>0</v>
      </c>
    </row>
    <row r="25" spans="1:11" ht="19.5" customHeight="1">
      <c r="A25" s="39" t="s">
        <v>17</v>
      </c>
      <c r="B25" s="39" t="s">
        <v>52</v>
      </c>
      <c r="C25" s="39" t="s">
        <v>53</v>
      </c>
      <c r="D25" s="44">
        <v>0</v>
      </c>
      <c r="E25" s="44">
        <v>0</v>
      </c>
      <c r="F25" s="45">
        <v>0</v>
      </c>
      <c r="G25" s="45">
        <f t="shared" si="2"/>
        <v>0</v>
      </c>
      <c r="H25" s="57">
        <f t="shared" si="0"/>
        <v>0</v>
      </c>
      <c r="I25" s="58">
        <v>1</v>
      </c>
      <c r="J25" s="57">
        <f t="shared" si="1"/>
        <v>0</v>
      </c>
      <c r="K25" s="57">
        <f t="shared" si="3"/>
        <v>0</v>
      </c>
    </row>
    <row r="26" spans="1:11" ht="19.5" customHeight="1">
      <c r="A26" s="39" t="s">
        <v>17</v>
      </c>
      <c r="B26" s="39" t="s">
        <v>165</v>
      </c>
      <c r="C26" s="39" t="s">
        <v>166</v>
      </c>
      <c r="D26" s="44">
        <v>0</v>
      </c>
      <c r="E26" s="44">
        <v>0</v>
      </c>
      <c r="F26" s="45">
        <v>0</v>
      </c>
      <c r="G26" s="45">
        <f t="shared" si="2"/>
        <v>0</v>
      </c>
      <c r="H26" s="57">
        <f t="shared" si="0"/>
        <v>0</v>
      </c>
      <c r="I26" s="58">
        <v>1</v>
      </c>
      <c r="J26" s="57">
        <f t="shared" si="1"/>
        <v>0</v>
      </c>
      <c r="K26" s="57">
        <f t="shared" si="3"/>
        <v>0</v>
      </c>
    </row>
    <row r="27" spans="1:11" ht="19.5" customHeight="1">
      <c r="A27" s="39" t="s">
        <v>17</v>
      </c>
      <c r="B27" s="39" t="s">
        <v>167</v>
      </c>
      <c r="C27" s="39" t="s">
        <v>168</v>
      </c>
      <c r="D27" s="44">
        <v>0</v>
      </c>
      <c r="E27" s="44">
        <v>0</v>
      </c>
      <c r="F27" s="45">
        <v>0</v>
      </c>
      <c r="G27" s="45">
        <f t="shared" si="2"/>
        <v>0</v>
      </c>
      <c r="H27" s="57">
        <f t="shared" si="0"/>
        <v>0</v>
      </c>
      <c r="I27" s="58">
        <v>1</v>
      </c>
      <c r="J27" s="57">
        <f t="shared" si="1"/>
        <v>0</v>
      </c>
      <c r="K27" s="57">
        <f t="shared" si="3"/>
        <v>0</v>
      </c>
    </row>
    <row r="28" spans="1:11" ht="19.5" customHeight="1">
      <c r="A28" s="39" t="s">
        <v>17</v>
      </c>
      <c r="B28" s="39" t="s">
        <v>54</v>
      </c>
      <c r="C28" s="39" t="s">
        <v>55</v>
      </c>
      <c r="D28" s="44">
        <v>2241</v>
      </c>
      <c r="E28" s="44">
        <v>2000</v>
      </c>
      <c r="F28" s="45">
        <v>4334.8500000000004</v>
      </c>
      <c r="G28" s="45">
        <f t="shared" si="2"/>
        <v>2.1674250000000002</v>
      </c>
      <c r="H28" s="57">
        <f t="shared" si="0"/>
        <v>0.2004868125</v>
      </c>
      <c r="I28" s="58">
        <v>1</v>
      </c>
      <c r="J28" s="57">
        <f t="shared" si="1"/>
        <v>2.1674250000000002</v>
      </c>
      <c r="K28" s="57">
        <f t="shared" si="3"/>
        <v>4857.1994250000007</v>
      </c>
    </row>
    <row r="29" spans="1:11" ht="19.5" customHeight="1">
      <c r="A29" s="39" t="s">
        <v>17</v>
      </c>
      <c r="B29" s="39" t="s">
        <v>56</v>
      </c>
      <c r="C29" s="39" t="s">
        <v>57</v>
      </c>
      <c r="D29" s="44">
        <v>0</v>
      </c>
      <c r="E29" s="44">
        <v>250</v>
      </c>
      <c r="F29" s="45">
        <v>1734.38</v>
      </c>
      <c r="G29" s="45">
        <f t="shared" si="2"/>
        <v>6.9375200000000001</v>
      </c>
      <c r="H29" s="57">
        <f t="shared" si="0"/>
        <v>0.64172059999999997</v>
      </c>
      <c r="I29" s="58">
        <v>1</v>
      </c>
      <c r="J29" s="57">
        <f t="shared" si="1"/>
        <v>6.9375200000000001</v>
      </c>
      <c r="K29" s="57">
        <f t="shared" si="3"/>
        <v>0</v>
      </c>
    </row>
    <row r="30" spans="1:11" ht="19.5" customHeight="1">
      <c r="A30" s="39" t="s">
        <v>17</v>
      </c>
      <c r="B30" s="39" t="s">
        <v>58</v>
      </c>
      <c r="C30" s="39" t="s">
        <v>59</v>
      </c>
      <c r="D30" s="44">
        <v>819</v>
      </c>
      <c r="E30" s="44">
        <v>700</v>
      </c>
      <c r="F30" s="45">
        <v>5289.57</v>
      </c>
      <c r="G30" s="45">
        <f t="shared" si="2"/>
        <v>7.5565285714285713</v>
      </c>
      <c r="H30" s="57">
        <f t="shared" si="0"/>
        <v>0.69897889285714287</v>
      </c>
      <c r="I30" s="58">
        <v>1</v>
      </c>
      <c r="J30" s="57">
        <f t="shared" si="1"/>
        <v>7.5565285714285713</v>
      </c>
      <c r="K30" s="57">
        <f t="shared" si="3"/>
        <v>6188.7969000000003</v>
      </c>
    </row>
    <row r="31" spans="1:11" ht="19.5" customHeight="1">
      <c r="A31" s="39" t="s">
        <v>17</v>
      </c>
      <c r="B31" s="39" t="s">
        <v>60</v>
      </c>
      <c r="C31" s="39" t="s">
        <v>61</v>
      </c>
      <c r="D31" s="44">
        <v>1433</v>
      </c>
      <c r="E31" s="44">
        <v>2200</v>
      </c>
      <c r="F31" s="45">
        <v>884</v>
      </c>
      <c r="G31" s="45">
        <f t="shared" si="2"/>
        <v>0.4018181818181818</v>
      </c>
      <c r="H31" s="57">
        <f t="shared" si="0"/>
        <v>3.7168181818181815E-2</v>
      </c>
      <c r="I31" s="58">
        <v>1</v>
      </c>
      <c r="J31" s="57">
        <f t="shared" si="1"/>
        <v>0.4018181818181818</v>
      </c>
      <c r="K31" s="57">
        <f t="shared" si="3"/>
        <v>575.8054545454545</v>
      </c>
    </row>
    <row r="32" spans="1:11" ht="19.5" customHeight="1">
      <c r="A32" s="39" t="s">
        <v>17</v>
      </c>
      <c r="B32" s="39" t="s">
        <v>62</v>
      </c>
      <c r="C32" s="39" t="s">
        <v>63</v>
      </c>
      <c r="D32" s="44">
        <v>0</v>
      </c>
      <c r="E32" s="44">
        <v>0</v>
      </c>
      <c r="F32" s="45">
        <v>0</v>
      </c>
      <c r="G32" s="45">
        <f t="shared" si="2"/>
        <v>0</v>
      </c>
      <c r="H32" s="57">
        <f t="shared" si="0"/>
        <v>0</v>
      </c>
      <c r="I32" s="58">
        <v>1</v>
      </c>
      <c r="J32" s="57">
        <f t="shared" si="1"/>
        <v>0</v>
      </c>
      <c r="K32" s="57">
        <f t="shared" si="3"/>
        <v>0</v>
      </c>
    </row>
    <row r="33" spans="1:11" ht="19.5" customHeight="1">
      <c r="A33" s="39" t="s">
        <v>17</v>
      </c>
      <c r="B33" s="39" t="s">
        <v>169</v>
      </c>
      <c r="C33" s="39" t="s">
        <v>170</v>
      </c>
      <c r="D33" s="44">
        <v>0</v>
      </c>
      <c r="E33" s="44">
        <v>150</v>
      </c>
      <c r="F33" s="45">
        <v>23.6</v>
      </c>
      <c r="G33" s="45">
        <f t="shared" si="2"/>
        <v>0.15733333333333335</v>
      </c>
      <c r="H33" s="57">
        <f t="shared" si="0"/>
        <v>1.4553333333333335E-2</v>
      </c>
      <c r="I33" s="58">
        <v>1</v>
      </c>
      <c r="J33" s="57">
        <f t="shared" si="1"/>
        <v>0.15733333333333335</v>
      </c>
      <c r="K33" s="57">
        <f t="shared" si="3"/>
        <v>0</v>
      </c>
    </row>
    <row r="34" spans="1:11" ht="19.5" customHeight="1">
      <c r="A34" s="39" t="s">
        <v>17</v>
      </c>
      <c r="B34" s="39" t="s">
        <v>171</v>
      </c>
      <c r="C34" s="39" t="s">
        <v>172</v>
      </c>
      <c r="D34" s="44">
        <v>0</v>
      </c>
      <c r="E34" s="44">
        <v>0</v>
      </c>
      <c r="F34" s="45">
        <v>0</v>
      </c>
      <c r="G34" s="45">
        <f t="shared" si="2"/>
        <v>0</v>
      </c>
      <c r="H34" s="57">
        <f t="shared" si="0"/>
        <v>0</v>
      </c>
      <c r="I34" s="58">
        <v>1</v>
      </c>
      <c r="J34" s="57">
        <f t="shared" si="1"/>
        <v>0</v>
      </c>
      <c r="K34" s="57">
        <f t="shared" si="3"/>
        <v>0</v>
      </c>
    </row>
    <row r="35" spans="1:11" ht="19.5" customHeight="1">
      <c r="A35" s="39" t="s">
        <v>17</v>
      </c>
      <c r="B35" s="39" t="s">
        <v>155</v>
      </c>
      <c r="C35" s="39" t="s">
        <v>156</v>
      </c>
      <c r="D35" s="44">
        <v>0</v>
      </c>
      <c r="E35" s="44">
        <v>0</v>
      </c>
      <c r="F35" s="45">
        <v>0</v>
      </c>
      <c r="G35" s="45">
        <f t="shared" si="2"/>
        <v>0</v>
      </c>
      <c r="H35" s="57">
        <f t="shared" si="0"/>
        <v>0</v>
      </c>
      <c r="I35" s="58">
        <v>1</v>
      </c>
      <c r="J35" s="57">
        <f t="shared" si="1"/>
        <v>0</v>
      </c>
      <c r="K35" s="57">
        <f t="shared" si="3"/>
        <v>0</v>
      </c>
    </row>
    <row r="36" spans="1:11" ht="19.5" customHeight="1">
      <c r="A36" s="39" t="s">
        <v>17</v>
      </c>
      <c r="B36" s="39" t="s">
        <v>64</v>
      </c>
      <c r="C36" s="39" t="s">
        <v>65</v>
      </c>
      <c r="D36" s="44">
        <v>0</v>
      </c>
      <c r="E36" s="44">
        <v>334</v>
      </c>
      <c r="F36" s="45">
        <v>3116.44</v>
      </c>
      <c r="G36" s="45">
        <f t="shared" si="2"/>
        <v>9.3306586826347306</v>
      </c>
      <c r="H36" s="57">
        <f t="shared" si="0"/>
        <v>0.86308592814371254</v>
      </c>
      <c r="I36" s="58">
        <v>1</v>
      </c>
      <c r="J36" s="57">
        <f t="shared" si="1"/>
        <v>9.3306586826347306</v>
      </c>
      <c r="K36" s="57">
        <f t="shared" si="3"/>
        <v>0</v>
      </c>
    </row>
    <row r="37" spans="1:11" ht="19.5" customHeight="1">
      <c r="A37" s="39" t="s">
        <v>17</v>
      </c>
      <c r="B37" s="39" t="s">
        <v>66</v>
      </c>
      <c r="C37" s="39" t="s">
        <v>67</v>
      </c>
      <c r="D37" s="44">
        <v>312</v>
      </c>
      <c r="E37" s="44">
        <v>800</v>
      </c>
      <c r="F37" s="45">
        <v>503.88</v>
      </c>
      <c r="G37" s="45">
        <f t="shared" si="2"/>
        <v>0.62985000000000002</v>
      </c>
      <c r="H37" s="57">
        <f t="shared" si="0"/>
        <v>5.8261125000000004E-2</v>
      </c>
      <c r="I37" s="58">
        <v>1</v>
      </c>
      <c r="J37" s="57">
        <f t="shared" si="1"/>
        <v>0.62985000000000002</v>
      </c>
      <c r="K37" s="57">
        <f t="shared" si="3"/>
        <v>196.51320000000001</v>
      </c>
    </row>
    <row r="38" spans="1:11" ht="19.5" customHeight="1">
      <c r="A38" s="39" t="s">
        <v>17</v>
      </c>
      <c r="B38" s="39" t="s">
        <v>68</v>
      </c>
      <c r="C38" s="39" t="s">
        <v>69</v>
      </c>
      <c r="D38" s="44">
        <v>337</v>
      </c>
      <c r="E38" s="44">
        <v>400</v>
      </c>
      <c r="F38" s="45">
        <v>81.900000000000006</v>
      </c>
      <c r="G38" s="45">
        <f t="shared" si="2"/>
        <v>0.20475000000000002</v>
      </c>
      <c r="H38" s="57">
        <f t="shared" ref="H38" si="7">G38*0.0925</f>
        <v>1.8939375000000001E-2</v>
      </c>
      <c r="I38" s="58">
        <v>1</v>
      </c>
      <c r="J38" s="57">
        <f t="shared" ref="J38" si="8">(G38-H38)+(H38*I38)</f>
        <v>0.20475000000000002</v>
      </c>
      <c r="K38" s="57">
        <f t="shared" ref="K38" si="9">J38*D38</f>
        <v>69.000750000000011</v>
      </c>
    </row>
    <row r="39" spans="1:11" ht="19.5" customHeight="1">
      <c r="A39" s="39" t="s">
        <v>17</v>
      </c>
      <c r="B39" s="39" t="s">
        <v>70</v>
      </c>
      <c r="C39" s="39" t="s">
        <v>71</v>
      </c>
      <c r="D39" s="44">
        <v>0</v>
      </c>
      <c r="E39" s="44">
        <v>1000</v>
      </c>
      <c r="F39" s="45">
        <v>44.2</v>
      </c>
      <c r="G39" s="45">
        <f t="shared" si="2"/>
        <v>4.4200000000000003E-2</v>
      </c>
      <c r="H39" s="57">
        <f t="shared" ref="H39" si="10">G39*0.0925</f>
        <v>4.0885000000000001E-3</v>
      </c>
      <c r="I39" s="58">
        <v>1</v>
      </c>
      <c r="J39" s="57">
        <f t="shared" ref="J39" si="11">(G39-H39)+(H39*I39)</f>
        <v>4.4200000000000003E-2</v>
      </c>
      <c r="K39" s="57">
        <f t="shared" ref="K39" si="12">J39*D39</f>
        <v>0</v>
      </c>
    </row>
    <row r="40" spans="1:11" ht="19.5" customHeight="1">
      <c r="A40" s="39" t="s">
        <v>17</v>
      </c>
      <c r="B40" s="39" t="s">
        <v>72</v>
      </c>
      <c r="C40" s="39" t="s">
        <v>73</v>
      </c>
      <c r="D40" s="44">
        <v>849</v>
      </c>
      <c r="E40" s="44">
        <v>1200</v>
      </c>
      <c r="F40" s="45">
        <v>3008.85</v>
      </c>
      <c r="G40" s="45">
        <f t="shared" si="2"/>
        <v>2.5073750000000001</v>
      </c>
      <c r="H40" s="57">
        <f t="shared" si="0"/>
        <v>0.2319321875</v>
      </c>
      <c r="I40" s="58">
        <v>1</v>
      </c>
      <c r="J40" s="57">
        <f t="shared" si="1"/>
        <v>2.5073750000000001</v>
      </c>
      <c r="K40" s="57">
        <f t="shared" si="3"/>
        <v>2128.761375</v>
      </c>
    </row>
    <row r="41" spans="1:11" ht="19.5" customHeight="1">
      <c r="A41" s="39" t="s">
        <v>17</v>
      </c>
      <c r="B41" s="39" t="s">
        <v>74</v>
      </c>
      <c r="C41" s="39" t="s">
        <v>75</v>
      </c>
      <c r="D41" s="44">
        <v>0</v>
      </c>
      <c r="E41" s="44">
        <v>0</v>
      </c>
      <c r="F41" s="45">
        <v>0</v>
      </c>
      <c r="G41" s="45">
        <f t="shared" si="2"/>
        <v>0</v>
      </c>
      <c r="H41" s="57">
        <f t="shared" si="0"/>
        <v>0</v>
      </c>
      <c r="I41" s="58">
        <v>1</v>
      </c>
      <c r="J41" s="57">
        <f t="shared" si="1"/>
        <v>0</v>
      </c>
      <c r="K41" s="57">
        <f t="shared" si="3"/>
        <v>0</v>
      </c>
    </row>
    <row r="42" spans="1:11" ht="19.5" customHeight="1">
      <c r="A42" s="39" t="s">
        <v>17</v>
      </c>
      <c r="B42" s="39" t="s">
        <v>76</v>
      </c>
      <c r="C42" s="39" t="s">
        <v>77</v>
      </c>
      <c r="D42" s="44">
        <v>0</v>
      </c>
      <c r="E42" s="44">
        <v>0</v>
      </c>
      <c r="F42" s="45">
        <v>0</v>
      </c>
      <c r="G42" s="45">
        <f t="shared" si="2"/>
        <v>0</v>
      </c>
      <c r="H42" s="57">
        <f t="shared" si="0"/>
        <v>0</v>
      </c>
      <c r="I42" s="58">
        <v>1</v>
      </c>
      <c r="J42" s="57">
        <f t="shared" si="1"/>
        <v>0</v>
      </c>
      <c r="K42" s="57">
        <f t="shared" si="3"/>
        <v>0</v>
      </c>
    </row>
    <row r="43" spans="1:11" ht="19.5" customHeight="1">
      <c r="A43" s="39" t="s">
        <v>17</v>
      </c>
      <c r="B43" s="39" t="s">
        <v>173</v>
      </c>
      <c r="C43" s="39" t="s">
        <v>174</v>
      </c>
      <c r="D43" s="44">
        <v>0</v>
      </c>
      <c r="E43" s="44">
        <v>0</v>
      </c>
      <c r="F43" s="45">
        <v>0</v>
      </c>
      <c r="G43" s="45">
        <f t="shared" si="2"/>
        <v>0</v>
      </c>
      <c r="H43" s="57">
        <f t="shared" si="0"/>
        <v>0</v>
      </c>
      <c r="I43" s="58">
        <v>1</v>
      </c>
      <c r="J43" s="57">
        <f t="shared" si="1"/>
        <v>0</v>
      </c>
      <c r="K43" s="57">
        <f t="shared" si="3"/>
        <v>0</v>
      </c>
    </row>
    <row r="44" spans="1:11" ht="19.5" customHeight="1">
      <c r="A44" s="39" t="s">
        <v>17</v>
      </c>
      <c r="B44" s="39" t="s">
        <v>78</v>
      </c>
      <c r="C44" s="39" t="s">
        <v>79</v>
      </c>
      <c r="D44" s="44">
        <v>0</v>
      </c>
      <c r="E44" s="44">
        <v>0</v>
      </c>
      <c r="F44" s="45">
        <v>0</v>
      </c>
      <c r="G44" s="45">
        <f t="shared" si="2"/>
        <v>0</v>
      </c>
      <c r="H44" s="57">
        <f t="shared" si="0"/>
        <v>0</v>
      </c>
      <c r="I44" s="58">
        <v>1</v>
      </c>
      <c r="J44" s="57">
        <f t="shared" si="1"/>
        <v>0</v>
      </c>
      <c r="K44" s="57">
        <f t="shared" si="3"/>
        <v>0</v>
      </c>
    </row>
    <row r="45" spans="1:11" ht="19.5" customHeight="1">
      <c r="A45" s="39" t="s">
        <v>17</v>
      </c>
      <c r="B45" s="39" t="s">
        <v>80</v>
      </c>
      <c r="C45" s="39" t="s">
        <v>81</v>
      </c>
      <c r="D45" s="44">
        <v>0</v>
      </c>
      <c r="E45" s="44">
        <v>0</v>
      </c>
      <c r="F45" s="45">
        <v>0</v>
      </c>
      <c r="G45" s="45">
        <f t="shared" si="2"/>
        <v>0</v>
      </c>
      <c r="H45" s="57">
        <f t="shared" si="0"/>
        <v>0</v>
      </c>
      <c r="I45" s="58">
        <v>1</v>
      </c>
      <c r="J45" s="57">
        <f t="shared" si="1"/>
        <v>0</v>
      </c>
      <c r="K45" s="57">
        <f t="shared" si="3"/>
        <v>0</v>
      </c>
    </row>
    <row r="46" spans="1:11" ht="19.5" customHeight="1">
      <c r="A46" s="39" t="s">
        <v>17</v>
      </c>
      <c r="B46" s="39" t="s">
        <v>82</v>
      </c>
      <c r="C46" s="39" t="s">
        <v>83</v>
      </c>
      <c r="D46" s="44">
        <v>80691</v>
      </c>
      <c r="E46" s="44">
        <v>70000</v>
      </c>
      <c r="F46" s="45">
        <v>21680.75</v>
      </c>
      <c r="G46" s="45">
        <f t="shared" si="2"/>
        <v>0.30972499999999997</v>
      </c>
      <c r="H46" s="57">
        <f t="shared" si="0"/>
        <v>2.8649562499999996E-2</v>
      </c>
      <c r="I46" s="58">
        <v>1</v>
      </c>
      <c r="J46" s="57">
        <f t="shared" si="1"/>
        <v>0.30972499999999997</v>
      </c>
      <c r="K46" s="57">
        <f t="shared" si="3"/>
        <v>24992.019974999999</v>
      </c>
    </row>
    <row r="47" spans="1:11" ht="19.5" customHeight="1">
      <c r="A47" s="39" t="s">
        <v>17</v>
      </c>
      <c r="B47" s="39" t="s">
        <v>150</v>
      </c>
      <c r="C47" s="39" t="s">
        <v>151</v>
      </c>
      <c r="D47" s="44">
        <v>0</v>
      </c>
      <c r="E47" s="44">
        <v>1000</v>
      </c>
      <c r="F47" s="45">
        <v>226.3</v>
      </c>
      <c r="G47" s="45">
        <f t="shared" si="2"/>
        <v>0.2263</v>
      </c>
      <c r="H47" s="57">
        <f t="shared" si="0"/>
        <v>2.093275E-2</v>
      </c>
      <c r="I47" s="58">
        <v>1</v>
      </c>
      <c r="J47" s="57">
        <f t="shared" si="1"/>
        <v>0.2263</v>
      </c>
      <c r="K47" s="57">
        <f t="shared" si="3"/>
        <v>0</v>
      </c>
    </row>
    <row r="48" spans="1:11" ht="19.5" customHeight="1">
      <c r="A48" s="39" t="s">
        <v>17</v>
      </c>
      <c r="B48" s="39" t="s">
        <v>175</v>
      </c>
      <c r="C48" s="39" t="s">
        <v>176</v>
      </c>
      <c r="D48" s="44">
        <v>0</v>
      </c>
      <c r="E48" s="44">
        <v>0</v>
      </c>
      <c r="F48" s="45">
        <v>0</v>
      </c>
      <c r="G48" s="45">
        <f t="shared" si="2"/>
        <v>0</v>
      </c>
      <c r="H48" s="57">
        <f t="shared" ref="H48" si="13">G48*0.0925</f>
        <v>0</v>
      </c>
      <c r="I48" s="58">
        <v>1</v>
      </c>
      <c r="J48" s="57">
        <f t="shared" ref="J48" si="14">(G48-H48)+(H48*I48)</f>
        <v>0</v>
      </c>
      <c r="K48" s="57">
        <f t="shared" ref="K48" si="15">J48*D48</f>
        <v>0</v>
      </c>
    </row>
    <row r="49" spans="1:11" ht="19.5" customHeight="1">
      <c r="A49" s="39" t="s">
        <v>17</v>
      </c>
      <c r="B49" s="39" t="s">
        <v>144</v>
      </c>
      <c r="C49" s="39" t="s">
        <v>145</v>
      </c>
      <c r="D49" s="44">
        <v>0</v>
      </c>
      <c r="E49" s="44">
        <v>0</v>
      </c>
      <c r="F49" s="45">
        <v>0</v>
      </c>
      <c r="G49" s="45">
        <f t="shared" si="2"/>
        <v>0</v>
      </c>
      <c r="H49" s="57">
        <f t="shared" si="0"/>
        <v>0</v>
      </c>
      <c r="I49" s="58">
        <v>1</v>
      </c>
      <c r="J49" s="57">
        <f t="shared" si="1"/>
        <v>0</v>
      </c>
      <c r="K49" s="57">
        <f t="shared" si="3"/>
        <v>0</v>
      </c>
    </row>
    <row r="50" spans="1:11" ht="19.5" customHeight="1">
      <c r="A50" s="39" t="s">
        <v>17</v>
      </c>
      <c r="B50" s="39" t="s">
        <v>88</v>
      </c>
      <c r="C50" s="39" t="s">
        <v>89</v>
      </c>
      <c r="D50" s="44">
        <v>0</v>
      </c>
      <c r="E50" s="44">
        <v>29000</v>
      </c>
      <c r="F50" s="45">
        <v>21347.279999999999</v>
      </c>
      <c r="G50" s="45">
        <f t="shared" si="2"/>
        <v>0.73611310344827585</v>
      </c>
      <c r="H50" s="57">
        <f t="shared" si="0"/>
        <v>6.8090462068965518E-2</v>
      </c>
      <c r="I50" s="58">
        <v>1</v>
      </c>
      <c r="J50" s="57">
        <f t="shared" si="1"/>
        <v>0.73611310344827585</v>
      </c>
      <c r="K50" s="57">
        <f t="shared" si="3"/>
        <v>0</v>
      </c>
    </row>
    <row r="51" spans="1:11" ht="19.5" customHeight="1">
      <c r="A51" s="39" t="s">
        <v>17</v>
      </c>
      <c r="B51" s="39" t="s">
        <v>157</v>
      </c>
      <c r="C51" s="39" t="s">
        <v>158</v>
      </c>
      <c r="D51" s="44">
        <v>0</v>
      </c>
      <c r="E51" s="44">
        <v>120000</v>
      </c>
      <c r="F51" s="45">
        <v>27087.960000000006</v>
      </c>
      <c r="G51" s="45">
        <f t="shared" si="2"/>
        <v>0.22573300000000004</v>
      </c>
      <c r="H51" s="57">
        <f t="shared" si="0"/>
        <v>2.0880302500000003E-2</v>
      </c>
      <c r="I51" s="58">
        <v>1</v>
      </c>
      <c r="J51" s="57">
        <f t="shared" si="1"/>
        <v>0.22573300000000004</v>
      </c>
      <c r="K51" s="57">
        <f t="shared" si="3"/>
        <v>0</v>
      </c>
    </row>
    <row r="52" spans="1:11" ht="19.5" customHeight="1">
      <c r="A52" s="39" t="s">
        <v>17</v>
      </c>
      <c r="B52" s="39" t="s">
        <v>94</v>
      </c>
      <c r="C52" s="39" t="s">
        <v>95</v>
      </c>
      <c r="D52" s="44">
        <v>0</v>
      </c>
      <c r="E52" s="44">
        <v>800</v>
      </c>
      <c r="F52" s="45">
        <v>750</v>
      </c>
      <c r="G52" s="45">
        <f t="shared" si="2"/>
        <v>0.9375</v>
      </c>
      <c r="H52" s="57">
        <f t="shared" si="0"/>
        <v>8.6718749999999997E-2</v>
      </c>
      <c r="I52" s="58">
        <v>1</v>
      </c>
      <c r="J52" s="57">
        <f t="shared" si="1"/>
        <v>0.9375</v>
      </c>
      <c r="K52" s="57">
        <f t="shared" si="3"/>
        <v>0</v>
      </c>
    </row>
    <row r="53" spans="1:11" ht="19.5" customHeight="1">
      <c r="A53" s="39" t="s">
        <v>17</v>
      </c>
      <c r="B53" s="39" t="s">
        <v>96</v>
      </c>
      <c r="C53" s="39" t="s">
        <v>97</v>
      </c>
      <c r="D53" s="44">
        <v>0</v>
      </c>
      <c r="E53" s="44">
        <v>60000</v>
      </c>
      <c r="F53" s="45">
        <v>9449.2800000000007</v>
      </c>
      <c r="G53" s="45">
        <f t="shared" si="2"/>
        <v>0.15748800000000002</v>
      </c>
      <c r="H53" s="57">
        <f t="shared" si="0"/>
        <v>1.4567640000000001E-2</v>
      </c>
      <c r="I53" s="58">
        <v>1</v>
      </c>
      <c r="J53" s="57">
        <f t="shared" si="1"/>
        <v>0.15748800000000002</v>
      </c>
      <c r="K53" s="57">
        <f t="shared" si="3"/>
        <v>0</v>
      </c>
    </row>
    <row r="54" spans="1:11" ht="19.5" customHeight="1">
      <c r="A54" s="39" t="s">
        <v>17</v>
      </c>
      <c r="B54" s="39" t="s">
        <v>98</v>
      </c>
      <c r="C54" s="39" t="s">
        <v>99</v>
      </c>
      <c r="D54" s="44">
        <v>3428</v>
      </c>
      <c r="E54" s="44">
        <v>1700</v>
      </c>
      <c r="F54" s="45">
        <v>8395</v>
      </c>
      <c r="G54" s="45">
        <f t="shared" si="2"/>
        <v>4.9382352941176473</v>
      </c>
      <c r="H54" s="57">
        <f t="shared" si="0"/>
        <v>0.45678676470588236</v>
      </c>
      <c r="I54" s="58">
        <v>1</v>
      </c>
      <c r="J54" s="57">
        <f t="shared" si="1"/>
        <v>4.9382352941176473</v>
      </c>
      <c r="K54" s="57">
        <f t="shared" si="3"/>
        <v>16928.270588235297</v>
      </c>
    </row>
    <row r="55" spans="1:11" ht="19.5" customHeight="1">
      <c r="A55" s="39" t="s">
        <v>17</v>
      </c>
      <c r="B55" s="39" t="s">
        <v>100</v>
      </c>
      <c r="C55" s="39" t="s">
        <v>101</v>
      </c>
      <c r="D55" s="44">
        <v>9097</v>
      </c>
      <c r="E55" s="44">
        <v>9006</v>
      </c>
      <c r="F55" s="45">
        <v>13432</v>
      </c>
      <c r="G55" s="45">
        <f t="shared" si="2"/>
        <v>1.4914501443482122</v>
      </c>
      <c r="H55" s="57">
        <f t="shared" si="0"/>
        <v>0.13795913835220963</v>
      </c>
      <c r="I55" s="58">
        <v>1</v>
      </c>
      <c r="J55" s="57">
        <f t="shared" si="1"/>
        <v>1.4914501443482122</v>
      </c>
      <c r="K55" s="57">
        <f t="shared" si="3"/>
        <v>13567.721963135686</v>
      </c>
    </row>
    <row r="56" spans="1:11" ht="19.5" customHeight="1">
      <c r="A56" s="39" t="s">
        <v>17</v>
      </c>
      <c r="B56" s="39" t="s">
        <v>102</v>
      </c>
      <c r="C56" s="39" t="s">
        <v>103</v>
      </c>
      <c r="D56" s="44">
        <v>0</v>
      </c>
      <c r="E56" s="44">
        <v>1174</v>
      </c>
      <c r="F56" s="45">
        <v>1250</v>
      </c>
      <c r="G56" s="45">
        <f t="shared" si="2"/>
        <v>1.0647359454855196</v>
      </c>
      <c r="H56" s="57">
        <f t="shared" si="0"/>
        <v>9.8488074957410562E-2</v>
      </c>
      <c r="I56" s="58">
        <v>1</v>
      </c>
      <c r="J56" s="57">
        <f t="shared" si="1"/>
        <v>1.0647359454855196</v>
      </c>
      <c r="K56" s="57">
        <f t="shared" si="3"/>
        <v>0</v>
      </c>
    </row>
    <row r="57" spans="1:11" ht="19.5" customHeight="1">
      <c r="A57" s="39" t="s">
        <v>17</v>
      </c>
      <c r="B57" s="39" t="s">
        <v>104</v>
      </c>
      <c r="C57" s="39" t="s">
        <v>105</v>
      </c>
      <c r="D57" s="44">
        <v>0</v>
      </c>
      <c r="E57" s="44">
        <v>1200</v>
      </c>
      <c r="F57" s="45">
        <v>3750</v>
      </c>
      <c r="G57" s="45">
        <f t="shared" si="2"/>
        <v>3.125</v>
      </c>
      <c r="H57" s="57">
        <f t="shared" si="0"/>
        <v>0.2890625</v>
      </c>
      <c r="I57" s="58">
        <v>1</v>
      </c>
      <c r="J57" s="57">
        <f t="shared" si="1"/>
        <v>3.125</v>
      </c>
      <c r="K57" s="57">
        <f t="shared" si="3"/>
        <v>0</v>
      </c>
    </row>
    <row r="58" spans="1:11" ht="19.5" customHeight="1">
      <c r="A58" s="39" t="s">
        <v>17</v>
      </c>
      <c r="B58" s="39" t="s">
        <v>106</v>
      </c>
      <c r="C58" s="39" t="s">
        <v>107</v>
      </c>
      <c r="D58" s="44">
        <v>346</v>
      </c>
      <c r="E58" s="44">
        <v>1000</v>
      </c>
      <c r="F58" s="45">
        <v>4380</v>
      </c>
      <c r="G58" s="45">
        <f t="shared" si="2"/>
        <v>4.38</v>
      </c>
      <c r="H58" s="57">
        <f t="shared" si="0"/>
        <v>0.40515000000000001</v>
      </c>
      <c r="I58" s="58">
        <v>1</v>
      </c>
      <c r="J58" s="57">
        <f t="shared" si="1"/>
        <v>4.38</v>
      </c>
      <c r="K58" s="57">
        <f t="shared" si="3"/>
        <v>1515.48</v>
      </c>
    </row>
    <row r="59" spans="1:11" ht="19.5" customHeight="1">
      <c r="A59" s="39" t="s">
        <v>17</v>
      </c>
      <c r="B59" s="39" t="s">
        <v>148</v>
      </c>
      <c r="C59" s="39" t="s">
        <v>149</v>
      </c>
      <c r="D59" s="44">
        <v>183</v>
      </c>
      <c r="E59" s="44">
        <v>1000</v>
      </c>
      <c r="F59" s="45">
        <v>4380</v>
      </c>
      <c r="G59" s="45">
        <f t="shared" si="2"/>
        <v>4.38</v>
      </c>
      <c r="H59" s="57">
        <f t="shared" ref="H59:H61" si="16">G59*0.0925</f>
        <v>0.40515000000000001</v>
      </c>
      <c r="I59" s="58">
        <v>1</v>
      </c>
      <c r="J59" s="57">
        <f t="shared" ref="J59:J61" si="17">(G59-H59)+(H59*I59)</f>
        <v>4.38</v>
      </c>
      <c r="K59" s="57">
        <f t="shared" ref="K59:K61" si="18">J59*D59</f>
        <v>801.54</v>
      </c>
    </row>
    <row r="60" spans="1:11" ht="19.5" customHeight="1">
      <c r="A60" s="39" t="s">
        <v>17</v>
      </c>
      <c r="B60" s="39" t="s">
        <v>108</v>
      </c>
      <c r="C60" s="39" t="s">
        <v>109</v>
      </c>
      <c r="D60" s="44">
        <v>0</v>
      </c>
      <c r="E60" s="44">
        <v>1100</v>
      </c>
      <c r="F60" s="45">
        <v>1862</v>
      </c>
      <c r="G60" s="45">
        <f t="shared" si="2"/>
        <v>1.6927272727272726</v>
      </c>
      <c r="H60" s="57">
        <f t="shared" si="16"/>
        <v>0.1565772727272727</v>
      </c>
      <c r="I60" s="58">
        <v>1</v>
      </c>
      <c r="J60" s="57">
        <f t="shared" si="17"/>
        <v>1.6927272727272726</v>
      </c>
      <c r="K60" s="57">
        <f t="shared" si="18"/>
        <v>0</v>
      </c>
    </row>
    <row r="61" spans="1:11" ht="19.5" customHeight="1">
      <c r="A61" s="39" t="s">
        <v>17</v>
      </c>
      <c r="B61" s="39" t="s">
        <v>110</v>
      </c>
      <c r="C61" s="39" t="s">
        <v>111</v>
      </c>
      <c r="D61" s="44">
        <v>409</v>
      </c>
      <c r="E61" s="44">
        <v>300</v>
      </c>
      <c r="F61" s="45">
        <v>4380</v>
      </c>
      <c r="G61" s="45">
        <f t="shared" si="2"/>
        <v>14.6</v>
      </c>
      <c r="H61" s="57">
        <f t="shared" si="16"/>
        <v>1.3505</v>
      </c>
      <c r="I61" s="58">
        <v>1</v>
      </c>
      <c r="J61" s="57">
        <f t="shared" si="17"/>
        <v>14.6</v>
      </c>
      <c r="K61" s="57">
        <f t="shared" si="18"/>
        <v>5971.4</v>
      </c>
    </row>
    <row r="62" spans="1:11" ht="19.5" customHeight="1">
      <c r="A62" s="39" t="s">
        <v>17</v>
      </c>
      <c r="B62" s="39" t="s">
        <v>112</v>
      </c>
      <c r="C62" s="39" t="s">
        <v>113</v>
      </c>
      <c r="D62" s="44">
        <v>404</v>
      </c>
      <c r="E62" s="44">
        <v>1021</v>
      </c>
      <c r="F62" s="45">
        <v>1679</v>
      </c>
      <c r="G62" s="45">
        <f t="shared" si="2"/>
        <v>1.6444662095984328</v>
      </c>
      <c r="H62" s="57">
        <f t="shared" ref="H62:H72" si="19">G62*0.0925</f>
        <v>0.15211312438785504</v>
      </c>
      <c r="I62" s="58">
        <v>1</v>
      </c>
      <c r="J62" s="57">
        <f t="shared" ref="J62:J72" si="20">(G62-H62)+(H62*I62)</f>
        <v>1.6444662095984328</v>
      </c>
      <c r="K62" s="57">
        <f t="shared" ref="K62:K72" si="21">J62*D62</f>
        <v>664.36434867776688</v>
      </c>
    </row>
    <row r="63" spans="1:11" ht="19.5" customHeight="1">
      <c r="A63" s="39" t="s">
        <v>17</v>
      </c>
      <c r="B63" s="39" t="s">
        <v>114</v>
      </c>
      <c r="C63" s="39" t="s">
        <v>115</v>
      </c>
      <c r="D63" s="44">
        <v>4258</v>
      </c>
      <c r="E63" s="44">
        <v>6000</v>
      </c>
      <c r="F63" s="45">
        <v>13432</v>
      </c>
      <c r="G63" s="45">
        <f t="shared" si="2"/>
        <v>2.2386666666666666</v>
      </c>
      <c r="H63" s="57">
        <f t="shared" si="19"/>
        <v>0.20707666666666666</v>
      </c>
      <c r="I63" s="58">
        <v>1</v>
      </c>
      <c r="J63" s="57">
        <f t="shared" si="20"/>
        <v>2.2386666666666666</v>
      </c>
      <c r="K63" s="57">
        <f t="shared" si="21"/>
        <v>9532.242666666667</v>
      </c>
    </row>
    <row r="64" spans="1:11" ht="19.5" customHeight="1">
      <c r="A64" s="39" t="s">
        <v>17</v>
      </c>
      <c r="B64" s="39" t="s">
        <v>116</v>
      </c>
      <c r="C64" s="39" t="s">
        <v>117</v>
      </c>
      <c r="D64" s="44">
        <v>0</v>
      </c>
      <c r="E64" s="44">
        <v>400</v>
      </c>
      <c r="F64" s="45">
        <v>1875</v>
      </c>
      <c r="G64" s="45">
        <f t="shared" si="2"/>
        <v>4.6875</v>
      </c>
      <c r="H64" s="57">
        <f t="shared" si="19"/>
        <v>0.43359375</v>
      </c>
      <c r="I64" s="58">
        <v>1</v>
      </c>
      <c r="J64" s="57">
        <f t="shared" si="20"/>
        <v>4.6875</v>
      </c>
      <c r="K64" s="57">
        <f t="shared" si="21"/>
        <v>0</v>
      </c>
    </row>
    <row r="65" spans="1:11" ht="19.5" customHeight="1">
      <c r="A65" s="39" t="s">
        <v>17</v>
      </c>
      <c r="B65" s="39" t="s">
        <v>118</v>
      </c>
      <c r="C65" s="39" t="s">
        <v>119</v>
      </c>
      <c r="D65" s="44">
        <v>24456</v>
      </c>
      <c r="E65" s="44">
        <v>20000</v>
      </c>
      <c r="F65" s="45">
        <v>50370</v>
      </c>
      <c r="G65" s="45">
        <f t="shared" si="2"/>
        <v>2.5185</v>
      </c>
      <c r="H65" s="57">
        <f t="shared" si="19"/>
        <v>0.23296124999999998</v>
      </c>
      <c r="I65" s="58">
        <v>1</v>
      </c>
      <c r="J65" s="57">
        <f t="shared" si="20"/>
        <v>2.5185</v>
      </c>
      <c r="K65" s="57">
        <f t="shared" si="21"/>
        <v>61592.436000000002</v>
      </c>
    </row>
    <row r="66" spans="1:11" ht="19.5" customHeight="1">
      <c r="A66" s="39" t="s">
        <v>17</v>
      </c>
      <c r="B66" s="39" t="s">
        <v>120</v>
      </c>
      <c r="C66" s="39" t="s">
        <v>121</v>
      </c>
      <c r="D66" s="44">
        <v>28</v>
      </c>
      <c r="E66" s="44">
        <v>1100</v>
      </c>
      <c r="F66" s="45">
        <v>5840</v>
      </c>
      <c r="G66" s="45">
        <f t="shared" si="2"/>
        <v>5.3090909090909095</v>
      </c>
      <c r="H66" s="57">
        <f t="shared" si="19"/>
        <v>0.49109090909090913</v>
      </c>
      <c r="I66" s="58">
        <v>1</v>
      </c>
      <c r="J66" s="57">
        <f t="shared" si="20"/>
        <v>5.3090909090909095</v>
      </c>
      <c r="K66" s="57">
        <f t="shared" si="21"/>
        <v>148.65454545454546</v>
      </c>
    </row>
    <row r="67" spans="1:11" ht="19.5" customHeight="1">
      <c r="A67" s="39" t="s">
        <v>17</v>
      </c>
      <c r="B67" s="39" t="s">
        <v>122</v>
      </c>
      <c r="C67" s="39" t="s">
        <v>123</v>
      </c>
      <c r="D67" s="44">
        <v>223</v>
      </c>
      <c r="E67" s="44">
        <v>500</v>
      </c>
      <c r="F67" s="45">
        <v>1679</v>
      </c>
      <c r="G67" s="45">
        <f t="shared" si="2"/>
        <v>3.3580000000000001</v>
      </c>
      <c r="H67" s="57">
        <f t="shared" si="19"/>
        <v>0.31061500000000003</v>
      </c>
      <c r="I67" s="58">
        <v>1</v>
      </c>
      <c r="J67" s="57">
        <f t="shared" si="20"/>
        <v>3.3580000000000001</v>
      </c>
      <c r="K67" s="57">
        <f t="shared" si="21"/>
        <v>748.83400000000006</v>
      </c>
    </row>
    <row r="68" spans="1:11" ht="19.5" customHeight="1">
      <c r="A68" s="39" t="s">
        <v>17</v>
      </c>
      <c r="B68" s="39" t="s">
        <v>124</v>
      </c>
      <c r="C68" s="39" t="s">
        <v>125</v>
      </c>
      <c r="D68" s="44">
        <v>0</v>
      </c>
      <c r="E68" s="44">
        <v>500</v>
      </c>
      <c r="F68" s="45">
        <v>750</v>
      </c>
      <c r="G68" s="45">
        <f t="shared" si="2"/>
        <v>1.5</v>
      </c>
      <c r="H68" s="57">
        <f t="shared" si="19"/>
        <v>0.13874999999999998</v>
      </c>
      <c r="I68" s="58">
        <v>1</v>
      </c>
      <c r="J68" s="57">
        <f t="shared" si="20"/>
        <v>1.5</v>
      </c>
      <c r="K68" s="57">
        <f t="shared" si="21"/>
        <v>0</v>
      </c>
    </row>
    <row r="69" spans="1:11" ht="25.5" customHeight="1">
      <c r="A69" s="39" t="s">
        <v>17</v>
      </c>
      <c r="B69" s="39" t="s">
        <v>126</v>
      </c>
      <c r="C69" s="39" t="s">
        <v>127</v>
      </c>
      <c r="D69" s="44">
        <v>0</v>
      </c>
      <c r="E69" s="44">
        <v>0</v>
      </c>
      <c r="F69" s="45">
        <v>0</v>
      </c>
      <c r="G69" s="45">
        <f t="shared" ref="G69:G72" si="22">IFERROR(F69/E69,0)</f>
        <v>0</v>
      </c>
      <c r="H69" s="57">
        <f t="shared" si="19"/>
        <v>0</v>
      </c>
      <c r="I69" s="58">
        <v>1</v>
      </c>
      <c r="J69" s="57">
        <f t="shared" si="20"/>
        <v>0</v>
      </c>
      <c r="K69" s="57">
        <f t="shared" si="21"/>
        <v>0</v>
      </c>
    </row>
    <row r="70" spans="1:11" ht="19.5" customHeight="1">
      <c r="A70" s="39" t="s">
        <v>17</v>
      </c>
      <c r="B70" s="39" t="s">
        <v>128</v>
      </c>
      <c r="C70" s="39" t="s">
        <v>129</v>
      </c>
      <c r="D70" s="44">
        <v>0</v>
      </c>
      <c r="E70" s="44">
        <v>0</v>
      </c>
      <c r="F70" s="45">
        <v>0</v>
      </c>
      <c r="G70" s="45">
        <f t="shared" si="22"/>
        <v>0</v>
      </c>
      <c r="H70" s="57">
        <f t="shared" si="19"/>
        <v>0</v>
      </c>
      <c r="I70" s="58">
        <v>1</v>
      </c>
      <c r="J70" s="57">
        <f t="shared" si="20"/>
        <v>0</v>
      </c>
      <c r="K70" s="57">
        <f t="shared" si="21"/>
        <v>0</v>
      </c>
    </row>
    <row r="71" spans="1:11" ht="19.5" customHeight="1">
      <c r="A71" s="39" t="s">
        <v>17</v>
      </c>
      <c r="B71" s="39" t="s">
        <v>132</v>
      </c>
      <c r="C71" s="39" t="s">
        <v>133</v>
      </c>
      <c r="D71" s="44">
        <v>0</v>
      </c>
      <c r="E71" s="44">
        <v>1000</v>
      </c>
      <c r="F71" s="45">
        <v>2044</v>
      </c>
      <c r="G71" s="45">
        <f t="shared" si="22"/>
        <v>2.044</v>
      </c>
      <c r="H71" s="57">
        <f t="shared" si="19"/>
        <v>0.18906999999999999</v>
      </c>
      <c r="I71" s="58">
        <v>1</v>
      </c>
      <c r="J71" s="57">
        <f t="shared" si="20"/>
        <v>2.044</v>
      </c>
      <c r="K71" s="57">
        <f t="shared" si="21"/>
        <v>0</v>
      </c>
    </row>
    <row r="72" spans="1:11" ht="19.5" customHeight="1">
      <c r="A72" s="39" t="s">
        <v>17</v>
      </c>
      <c r="B72" s="39" t="s">
        <v>130</v>
      </c>
      <c r="C72" s="39" t="s">
        <v>131</v>
      </c>
      <c r="D72" s="44">
        <v>2427</v>
      </c>
      <c r="E72" s="44">
        <v>4500</v>
      </c>
      <c r="F72" s="45">
        <v>6716</v>
      </c>
      <c r="G72" s="45">
        <f t="shared" si="22"/>
        <v>1.4924444444444445</v>
      </c>
      <c r="H72" s="57">
        <f t="shared" si="19"/>
        <v>0.13805111111111112</v>
      </c>
      <c r="I72" s="58">
        <v>1</v>
      </c>
      <c r="J72" s="57">
        <f t="shared" si="20"/>
        <v>1.4924444444444445</v>
      </c>
      <c r="K72" s="57">
        <f t="shared" si="21"/>
        <v>3622.1626666666666</v>
      </c>
    </row>
    <row r="73" spans="1:11" s="25" customFormat="1" ht="19.5" customHeight="1">
      <c r="D73" s="50">
        <f>SUM(D4:D72)</f>
        <v>138070</v>
      </c>
      <c r="E73" s="50">
        <f>SUM(E4:E72)</f>
        <v>368285</v>
      </c>
      <c r="F73" s="49">
        <f>SUM(F4:F72)</f>
        <v>254526.12</v>
      </c>
      <c r="K73" s="49">
        <f>SUM(K4:K72)</f>
        <v>163641.00650836746</v>
      </c>
    </row>
  </sheetData>
  <autoFilter ref="A3:K73" xr:uid="{00000000-0001-0000-0200-000000000000}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677D-6A4A-4174-BF63-8B4824A9BFB1}">
  <dimension ref="A1:AB28"/>
  <sheetViews>
    <sheetView showGridLines="0" zoomScale="85" zoomScaleNormal="85" workbookViewId="0">
      <selection activeCell="A4" sqref="A4"/>
    </sheetView>
  </sheetViews>
  <sheetFormatPr defaultColWidth="8.6640625" defaultRowHeight="19.5" customHeight="1"/>
  <cols>
    <col min="1" max="3" width="30.6640625" customWidth="1"/>
    <col min="4" max="5" width="15.4140625" customWidth="1"/>
    <col min="6" max="6" width="18" bestFit="1" customWidth="1"/>
    <col min="7" max="16" width="15.4140625" customWidth="1"/>
    <col min="17" max="20" width="20.6640625" customWidth="1"/>
  </cols>
  <sheetData>
    <row r="1" spans="1:28" ht="49.5" customHeight="1">
      <c r="C1" s="51" t="str">
        <f>RESUMO!C1</f>
        <v>reembolso mensal CCC - RORAIMA</v>
      </c>
      <c r="H1" s="15"/>
      <c r="I1" s="15"/>
      <c r="J1" s="15"/>
      <c r="K1" s="15"/>
      <c r="L1" s="15"/>
      <c r="M1" s="15"/>
      <c r="N1" s="15"/>
      <c r="O1" s="15"/>
    </row>
    <row r="2" spans="1:28" ht="30" customHeight="1">
      <c r="C2" s="33" t="s">
        <v>239</v>
      </c>
      <c r="D2" s="13">
        <f>RESUMO!C2</f>
        <v>46143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8" s="9" customFormat="1" ht="30" customHeight="1">
      <c r="A3" s="7"/>
      <c r="B3" s="7"/>
      <c r="C3" s="7"/>
      <c r="D3" s="7"/>
      <c r="E3" s="8"/>
      <c r="F3" s="8"/>
      <c r="G3" s="16"/>
      <c r="H3" s="100" t="s">
        <v>262</v>
      </c>
      <c r="I3" s="100"/>
      <c r="J3" s="100"/>
      <c r="K3" s="100"/>
      <c r="L3" s="100" t="s">
        <v>262</v>
      </c>
      <c r="M3" s="100"/>
      <c r="N3" s="100"/>
      <c r="O3" s="100"/>
      <c r="P3" s="6"/>
      <c r="Q3" s="5"/>
      <c r="R3" s="5"/>
      <c r="S3" s="5"/>
      <c r="X3" s="11"/>
      <c r="Y3" s="11"/>
      <c r="Z3" s="10"/>
      <c r="AA3" s="10"/>
      <c r="AB3" s="10"/>
    </row>
    <row r="4" spans="1:28" s="9" customFormat="1" ht="56">
      <c r="A4" s="59" t="s">
        <v>216</v>
      </c>
      <c r="B4" s="59" t="s">
        <v>4</v>
      </c>
      <c r="C4" s="59" t="s">
        <v>217</v>
      </c>
      <c r="D4" s="59" t="s">
        <v>251</v>
      </c>
      <c r="E4" s="59" t="s">
        <v>252</v>
      </c>
      <c r="F4" s="59" t="s">
        <v>220</v>
      </c>
      <c r="G4" s="59" t="s">
        <v>253</v>
      </c>
      <c r="H4" s="59" t="s">
        <v>7</v>
      </c>
      <c r="I4" s="59" t="s">
        <v>254</v>
      </c>
      <c r="J4" s="59" t="s">
        <v>255</v>
      </c>
      <c r="K4" s="59" t="s">
        <v>256</v>
      </c>
      <c r="L4" s="59" t="s">
        <v>257</v>
      </c>
      <c r="M4" s="59" t="s">
        <v>258</v>
      </c>
      <c r="N4" s="59" t="s">
        <v>259</v>
      </c>
      <c r="O4" s="59" t="s">
        <v>260</v>
      </c>
      <c r="P4" s="59" t="s">
        <v>261</v>
      </c>
      <c r="Q4" s="5"/>
      <c r="R4" s="5"/>
      <c r="S4" s="5"/>
      <c r="X4" s="11"/>
      <c r="Y4" s="11"/>
      <c r="Z4" s="10"/>
      <c r="AA4" s="10"/>
      <c r="AB4" s="10"/>
    </row>
    <row r="5" spans="1:28" s="9" customFormat="1" ht="20.149999999999999" customHeight="1">
      <c r="A5" s="39" t="s">
        <v>17</v>
      </c>
      <c r="B5" s="39" t="s">
        <v>28</v>
      </c>
      <c r="C5" s="39" t="s">
        <v>29</v>
      </c>
      <c r="D5" s="60">
        <v>0.106</v>
      </c>
      <c r="E5" s="61">
        <v>0</v>
      </c>
      <c r="F5" s="62" t="s">
        <v>214</v>
      </c>
      <c r="G5" s="62" t="s">
        <v>142</v>
      </c>
      <c r="H5" s="62">
        <v>287.03422887320266</v>
      </c>
      <c r="I5" s="62">
        <f>ROUND(E5*H5,6)</f>
        <v>0</v>
      </c>
      <c r="J5" s="62">
        <v>0</v>
      </c>
      <c r="K5" s="62">
        <f t="shared" ref="K5:K10" si="0">IF($G5="n",I5,MIN(I5:J5))</f>
        <v>0</v>
      </c>
      <c r="L5" s="61">
        <v>392.84803199999999</v>
      </c>
      <c r="M5" s="62">
        <f>ROUND(E5*L5,2)</f>
        <v>0</v>
      </c>
      <c r="N5" s="61">
        <v>0</v>
      </c>
      <c r="O5" s="62">
        <f>IF(D5&gt;=18,N5,MIN(M5,N5))</f>
        <v>0</v>
      </c>
      <c r="P5" s="61">
        <f>ROUND(K5+O5,2)</f>
        <v>0</v>
      </c>
      <c r="Q5" s="29"/>
      <c r="R5" s="5"/>
      <c r="S5" s="5"/>
      <c r="X5" s="11"/>
      <c r="Y5" s="11"/>
      <c r="Z5" s="10"/>
      <c r="AA5" s="10"/>
      <c r="AB5" s="10"/>
    </row>
    <row r="6" spans="1:28" s="9" customFormat="1" ht="20.149999999999999" customHeight="1">
      <c r="A6" s="39" t="s">
        <v>17</v>
      </c>
      <c r="B6" s="39" t="s">
        <v>62</v>
      </c>
      <c r="C6" s="39" t="s">
        <v>63</v>
      </c>
      <c r="D6" s="60">
        <v>0.13200000000000001</v>
      </c>
      <c r="E6" s="61">
        <v>0</v>
      </c>
      <c r="F6" s="62" t="s">
        <v>214</v>
      </c>
      <c r="G6" s="62" t="s">
        <v>142</v>
      </c>
      <c r="H6" s="62">
        <v>287.03422887320266</v>
      </c>
      <c r="I6" s="62">
        <f t="shared" ref="I6:I17" si="1">ROUND(E6*H6,6)</f>
        <v>0</v>
      </c>
      <c r="J6" s="62">
        <v>0</v>
      </c>
      <c r="K6" s="62">
        <f t="shared" si="0"/>
        <v>0</v>
      </c>
      <c r="L6" s="61">
        <v>392.84803199999999</v>
      </c>
      <c r="M6" s="62">
        <f t="shared" ref="M6:M17" si="2">ROUND(E6*L6,2)</f>
        <v>0</v>
      </c>
      <c r="N6" s="61">
        <v>0</v>
      </c>
      <c r="O6" s="62">
        <f t="shared" ref="O6:O13" si="3">IF(G6="N",M6,IF(D6&gt;=18,N6,MIN(M6,N6)))</f>
        <v>0</v>
      </c>
      <c r="P6" s="61">
        <f t="shared" ref="P6:P17" si="4">ROUND(K6+O6,2)</f>
        <v>0</v>
      </c>
      <c r="Q6" s="29"/>
      <c r="R6" s="5"/>
      <c r="S6" s="5"/>
      <c r="X6" s="11"/>
      <c r="Y6" s="11"/>
      <c r="Z6" s="10"/>
      <c r="AA6" s="10"/>
      <c r="AB6" s="10"/>
    </row>
    <row r="7" spans="1:28" s="9" customFormat="1" ht="20.149999999999999" customHeight="1">
      <c r="A7" s="39" t="s">
        <v>17</v>
      </c>
      <c r="B7" s="39" t="s">
        <v>82</v>
      </c>
      <c r="C7" s="39" t="s">
        <v>83</v>
      </c>
      <c r="D7" s="60">
        <v>0.32</v>
      </c>
      <c r="E7" s="61">
        <v>249.96627299999997</v>
      </c>
      <c r="F7" s="62" t="s">
        <v>214</v>
      </c>
      <c r="G7" s="62" t="s">
        <v>142</v>
      </c>
      <c r="H7" s="62">
        <v>287.03422887320266</v>
      </c>
      <c r="I7" s="62">
        <f t="shared" si="1"/>
        <v>71748.876415000006</v>
      </c>
      <c r="J7" s="62">
        <v>71748.876414863451</v>
      </c>
      <c r="K7" s="62">
        <f t="shared" si="0"/>
        <v>71748.876414863451</v>
      </c>
      <c r="L7" s="61">
        <v>359.384185</v>
      </c>
      <c r="M7" s="62">
        <f t="shared" si="2"/>
        <v>89833.93</v>
      </c>
      <c r="N7" s="61">
        <v>89833.93</v>
      </c>
      <c r="O7" s="62">
        <f t="shared" si="3"/>
        <v>89833.93</v>
      </c>
      <c r="P7" s="61">
        <f t="shared" si="4"/>
        <v>161582.81</v>
      </c>
      <c r="Q7" s="29"/>
      <c r="R7" s="5"/>
      <c r="S7" s="5"/>
      <c r="X7" s="11"/>
      <c r="Y7" s="11"/>
      <c r="Z7" s="10"/>
      <c r="AA7" s="10"/>
      <c r="AB7" s="10"/>
    </row>
    <row r="8" spans="1:28" s="9" customFormat="1" ht="20.149999999999999" customHeight="1">
      <c r="A8" s="39" t="s">
        <v>17</v>
      </c>
      <c r="B8" s="39" t="s">
        <v>88</v>
      </c>
      <c r="C8" s="39" t="s">
        <v>89</v>
      </c>
      <c r="D8" s="60">
        <v>0.52600000000000002</v>
      </c>
      <c r="E8" s="61">
        <v>0</v>
      </c>
      <c r="F8" s="62" t="s">
        <v>214</v>
      </c>
      <c r="G8" s="62" t="s">
        <v>142</v>
      </c>
      <c r="H8" s="62">
        <v>287.03422887320266</v>
      </c>
      <c r="I8" s="62">
        <f t="shared" si="1"/>
        <v>0</v>
      </c>
      <c r="J8" s="62">
        <v>0</v>
      </c>
      <c r="K8" s="62">
        <f t="shared" si="0"/>
        <v>0</v>
      </c>
      <c r="L8" s="61">
        <v>324.40529299999997</v>
      </c>
      <c r="M8" s="62">
        <f t="shared" si="2"/>
        <v>0</v>
      </c>
      <c r="N8" s="61">
        <v>0</v>
      </c>
      <c r="O8" s="62">
        <f t="shared" si="3"/>
        <v>0</v>
      </c>
      <c r="P8" s="61">
        <f t="shared" si="4"/>
        <v>0</v>
      </c>
      <c r="Q8" s="29"/>
      <c r="R8" s="5"/>
      <c r="S8" s="5"/>
      <c r="X8" s="11"/>
      <c r="Y8" s="11"/>
      <c r="Z8" s="10"/>
      <c r="AA8" s="10"/>
      <c r="AB8" s="10"/>
    </row>
    <row r="9" spans="1:28" s="9" customFormat="1" ht="20.149999999999999" customHeight="1">
      <c r="A9" s="39" t="s">
        <v>17</v>
      </c>
      <c r="B9" s="39" t="s">
        <v>96</v>
      </c>
      <c r="C9" s="39" t="s">
        <v>97</v>
      </c>
      <c r="D9" s="60">
        <v>1.966</v>
      </c>
      <c r="E9" s="61">
        <v>0</v>
      </c>
      <c r="F9" s="62" t="s">
        <v>214</v>
      </c>
      <c r="G9" s="62" t="s">
        <v>142</v>
      </c>
      <c r="H9" s="62">
        <v>241.55635447723549</v>
      </c>
      <c r="I9" s="62">
        <f t="shared" si="1"/>
        <v>0</v>
      </c>
      <c r="J9" s="62">
        <v>0</v>
      </c>
      <c r="K9" s="62">
        <f t="shared" si="0"/>
        <v>0</v>
      </c>
      <c r="L9" s="61">
        <v>277.14657899999997</v>
      </c>
      <c r="M9" s="62">
        <f t="shared" si="2"/>
        <v>0</v>
      </c>
      <c r="N9" s="61">
        <v>0</v>
      </c>
      <c r="O9" s="62">
        <f t="shared" si="3"/>
        <v>0</v>
      </c>
      <c r="P9" s="61">
        <f t="shared" si="4"/>
        <v>0</v>
      </c>
      <c r="Q9" s="29"/>
      <c r="R9" s="5"/>
      <c r="S9" s="5"/>
      <c r="X9" s="11"/>
      <c r="Y9" s="11"/>
      <c r="Z9" s="10"/>
      <c r="AA9" s="10"/>
      <c r="AB9" s="10"/>
    </row>
    <row r="10" spans="1:28" s="9" customFormat="1" ht="20.149999999999999" customHeight="1">
      <c r="A10" s="39" t="s">
        <v>17</v>
      </c>
      <c r="B10" s="39" t="s">
        <v>118</v>
      </c>
      <c r="C10" s="39" t="s">
        <v>119</v>
      </c>
      <c r="D10" s="60">
        <v>0.32</v>
      </c>
      <c r="E10" s="61">
        <v>75.083929999999995</v>
      </c>
      <c r="F10" s="62" t="s">
        <v>214</v>
      </c>
      <c r="G10" s="62" t="s">
        <v>142</v>
      </c>
      <c r="H10" s="62">
        <v>287.03422887320266</v>
      </c>
      <c r="I10" s="62">
        <f t="shared" si="1"/>
        <v>21551.657948</v>
      </c>
      <c r="J10" s="62">
        <v>21551.657948319527</v>
      </c>
      <c r="K10" s="62">
        <f t="shared" si="0"/>
        <v>21551.657948</v>
      </c>
      <c r="L10" s="61">
        <v>359.384185</v>
      </c>
      <c r="M10" s="62">
        <f t="shared" si="2"/>
        <v>26983.98</v>
      </c>
      <c r="N10" s="61">
        <v>26983.98</v>
      </c>
      <c r="O10" s="62">
        <f t="shared" si="3"/>
        <v>26983.98</v>
      </c>
      <c r="P10" s="61">
        <f t="shared" si="4"/>
        <v>48535.64</v>
      </c>
      <c r="Q10" s="29"/>
      <c r="R10" s="5"/>
      <c r="S10" s="5"/>
      <c r="X10" s="11"/>
      <c r="Y10" s="11"/>
      <c r="Z10" s="10"/>
      <c r="AA10" s="10"/>
      <c r="AB10" s="10"/>
    </row>
    <row r="11" spans="1:28" s="9" customFormat="1" ht="20.149999999999999" customHeight="1">
      <c r="A11" s="39" t="s">
        <v>17</v>
      </c>
      <c r="B11" s="39" t="s">
        <v>84</v>
      </c>
      <c r="C11" s="39" t="s">
        <v>85</v>
      </c>
      <c r="D11" s="60">
        <v>47.85</v>
      </c>
      <c r="E11" s="61">
        <v>0</v>
      </c>
      <c r="F11" s="62" t="s">
        <v>214</v>
      </c>
      <c r="G11" s="62" t="s">
        <v>142</v>
      </c>
      <c r="H11" s="62">
        <v>141.90904231447627</v>
      </c>
      <c r="I11" s="62">
        <f t="shared" si="1"/>
        <v>0</v>
      </c>
      <c r="J11" s="62">
        <v>0</v>
      </c>
      <c r="K11" s="62">
        <f t="shared" ref="K11:K16" si="5">J11</f>
        <v>0</v>
      </c>
      <c r="L11" s="61">
        <v>172.130166</v>
      </c>
      <c r="M11" s="62">
        <f t="shared" si="2"/>
        <v>0</v>
      </c>
      <c r="N11" s="61">
        <v>0</v>
      </c>
      <c r="O11" s="62">
        <f t="shared" si="3"/>
        <v>0</v>
      </c>
      <c r="P11" s="61">
        <f t="shared" si="4"/>
        <v>0</v>
      </c>
      <c r="Q11" s="29"/>
      <c r="R11" s="5"/>
      <c r="S11" s="5"/>
      <c r="X11" s="11"/>
      <c r="Y11" s="11"/>
      <c r="Z11" s="10"/>
      <c r="AA11" s="10"/>
      <c r="AB11" s="10"/>
    </row>
    <row r="12" spans="1:28" s="9" customFormat="1" ht="20.149999999999999" customHeight="1">
      <c r="A12" s="39" t="s">
        <v>17</v>
      </c>
      <c r="B12" s="39" t="s">
        <v>86</v>
      </c>
      <c r="C12" s="39" t="s">
        <v>87</v>
      </c>
      <c r="D12" s="60">
        <v>18.04</v>
      </c>
      <c r="E12" s="61">
        <v>0</v>
      </c>
      <c r="F12" s="62" t="s">
        <v>214</v>
      </c>
      <c r="G12" s="62" t="s">
        <v>142</v>
      </c>
      <c r="H12" s="62">
        <v>155.145735154448</v>
      </c>
      <c r="I12" s="62">
        <f t="shared" si="1"/>
        <v>0</v>
      </c>
      <c r="J12" s="62">
        <v>0</v>
      </c>
      <c r="K12" s="62">
        <f t="shared" si="5"/>
        <v>0</v>
      </c>
      <c r="L12" s="61">
        <v>188.18430799999999</v>
      </c>
      <c r="M12" s="62">
        <f t="shared" si="2"/>
        <v>0</v>
      </c>
      <c r="N12" s="61">
        <v>0</v>
      </c>
      <c r="O12" s="62">
        <f t="shared" si="3"/>
        <v>0</v>
      </c>
      <c r="P12" s="61">
        <f t="shared" si="4"/>
        <v>0</v>
      </c>
      <c r="Q12" s="5"/>
      <c r="R12" s="5"/>
      <c r="S12" s="5"/>
      <c r="X12" s="11"/>
      <c r="Y12" s="11"/>
      <c r="Z12" s="10"/>
      <c r="AA12" s="10"/>
      <c r="AB12" s="10"/>
    </row>
    <row r="13" spans="1:28" s="9" customFormat="1" ht="20.149999999999999" customHeight="1">
      <c r="A13" s="39" t="s">
        <v>17</v>
      </c>
      <c r="B13" s="39" t="s">
        <v>292</v>
      </c>
      <c r="C13" s="39" t="s">
        <v>91</v>
      </c>
      <c r="D13" s="60">
        <v>26.24</v>
      </c>
      <c r="E13" s="61">
        <v>0</v>
      </c>
      <c r="F13" s="62" t="s">
        <v>214</v>
      </c>
      <c r="G13" s="62" t="s">
        <v>142</v>
      </c>
      <c r="H13" s="62">
        <v>141.90904231447627</v>
      </c>
      <c r="I13" s="62">
        <f t="shared" si="1"/>
        <v>0</v>
      </c>
      <c r="J13" s="62">
        <v>0</v>
      </c>
      <c r="K13" s="62">
        <f t="shared" si="5"/>
        <v>0</v>
      </c>
      <c r="L13" s="61">
        <v>172.130166</v>
      </c>
      <c r="M13" s="62">
        <f t="shared" si="2"/>
        <v>0</v>
      </c>
      <c r="N13" s="61">
        <v>0</v>
      </c>
      <c r="O13" s="62">
        <f t="shared" si="3"/>
        <v>0</v>
      </c>
      <c r="P13" s="61">
        <f t="shared" si="4"/>
        <v>0</v>
      </c>
      <c r="Q13" s="5"/>
      <c r="R13" s="5"/>
      <c r="S13" s="5"/>
      <c r="X13" s="11"/>
      <c r="Y13" s="11"/>
      <c r="Z13" s="10"/>
      <c r="AA13" s="10"/>
      <c r="AB13" s="10"/>
    </row>
    <row r="14" spans="1:28" s="9" customFormat="1" ht="20.149999999999999" customHeight="1">
      <c r="A14" s="39" t="s">
        <v>17</v>
      </c>
      <c r="B14" s="39" t="s">
        <v>90</v>
      </c>
      <c r="C14" s="39" t="s">
        <v>91</v>
      </c>
      <c r="D14" s="60">
        <v>21.32</v>
      </c>
      <c r="E14" s="61">
        <v>0</v>
      </c>
      <c r="F14" s="62" t="s">
        <v>214</v>
      </c>
      <c r="G14" s="62" t="s">
        <v>142</v>
      </c>
      <c r="H14" s="62">
        <v>141.90904231447627</v>
      </c>
      <c r="I14" s="62">
        <f t="shared" si="1"/>
        <v>0</v>
      </c>
      <c r="J14" s="62">
        <v>0</v>
      </c>
      <c r="K14" s="62">
        <f t="shared" si="5"/>
        <v>0</v>
      </c>
      <c r="L14" s="61">
        <v>172.130166</v>
      </c>
      <c r="M14" s="62">
        <f t="shared" si="2"/>
        <v>0</v>
      </c>
      <c r="N14" s="61">
        <v>0</v>
      </c>
      <c r="O14" s="62">
        <f>N14</f>
        <v>0</v>
      </c>
      <c r="P14" s="61">
        <f t="shared" si="4"/>
        <v>0</v>
      </c>
      <c r="Q14" s="5"/>
      <c r="S14" s="5"/>
      <c r="X14" s="11"/>
      <c r="Y14" s="11"/>
      <c r="Z14" s="10"/>
      <c r="AA14" s="10"/>
      <c r="AB14" s="10"/>
    </row>
    <row r="15" spans="1:28" s="9" customFormat="1" ht="20.149999999999999" customHeight="1">
      <c r="A15" s="39" t="s">
        <v>17</v>
      </c>
      <c r="B15" s="39" t="s">
        <v>92</v>
      </c>
      <c r="C15" s="39" t="s">
        <v>93</v>
      </c>
      <c r="D15" s="60">
        <v>126.84399999999999</v>
      </c>
      <c r="E15" s="61">
        <v>0</v>
      </c>
      <c r="F15" s="62" t="s">
        <v>214</v>
      </c>
      <c r="G15" s="62" t="s">
        <v>142</v>
      </c>
      <c r="H15" s="62">
        <v>141.90904231447627</v>
      </c>
      <c r="I15" s="62">
        <f t="shared" si="1"/>
        <v>0</v>
      </c>
      <c r="J15" s="62">
        <v>0</v>
      </c>
      <c r="K15" s="62">
        <f t="shared" si="5"/>
        <v>0</v>
      </c>
      <c r="L15" s="61">
        <v>172.130166</v>
      </c>
      <c r="M15" s="62">
        <f t="shared" si="2"/>
        <v>0</v>
      </c>
      <c r="N15" s="61">
        <v>0</v>
      </c>
      <c r="O15" s="62">
        <f t="shared" ref="O15:O17" si="6">IF(G15="N",M15,IF(D15&gt;=18,N15,MIN(M15,N15)))</f>
        <v>0</v>
      </c>
      <c r="P15" s="61">
        <f t="shared" si="4"/>
        <v>0</v>
      </c>
      <c r="Q15" s="5"/>
      <c r="R15" s="5"/>
      <c r="S15" s="5"/>
      <c r="X15" s="11"/>
      <c r="Y15" s="11"/>
      <c r="Z15" s="10"/>
      <c r="AA15" s="10"/>
      <c r="AB15" s="10"/>
    </row>
    <row r="16" spans="1:28" s="9" customFormat="1" ht="20.149999999999999" customHeight="1">
      <c r="A16" s="39" t="s">
        <v>17</v>
      </c>
      <c r="B16" s="39" t="s">
        <v>152</v>
      </c>
      <c r="C16" s="39" t="s">
        <v>93</v>
      </c>
      <c r="D16" s="60">
        <v>28.5</v>
      </c>
      <c r="E16" s="61">
        <v>0</v>
      </c>
      <c r="F16" s="62" t="s">
        <v>214</v>
      </c>
      <c r="G16" s="62" t="s">
        <v>142</v>
      </c>
      <c r="H16" s="62">
        <v>141.90904231447627</v>
      </c>
      <c r="I16" s="62">
        <f t="shared" si="1"/>
        <v>0</v>
      </c>
      <c r="J16" s="62">
        <v>0</v>
      </c>
      <c r="K16" s="62">
        <f t="shared" si="5"/>
        <v>0</v>
      </c>
      <c r="L16" s="61">
        <v>172.130166</v>
      </c>
      <c r="M16" s="62">
        <f t="shared" si="2"/>
        <v>0</v>
      </c>
      <c r="N16" s="61">
        <v>0</v>
      </c>
      <c r="O16" s="62">
        <f t="shared" si="6"/>
        <v>0</v>
      </c>
      <c r="P16" s="61">
        <f t="shared" si="4"/>
        <v>0</v>
      </c>
      <c r="Q16" s="5"/>
      <c r="R16" s="5"/>
      <c r="S16" s="5"/>
      <c r="X16" s="11"/>
      <c r="Y16" s="11"/>
      <c r="Z16" s="10"/>
      <c r="AA16" s="10"/>
      <c r="AB16" s="10"/>
    </row>
    <row r="17" spans="1:28" s="9" customFormat="1" ht="20.149999999999999" customHeight="1">
      <c r="A17" s="39" t="s">
        <v>17</v>
      </c>
      <c r="B17" s="39" t="s">
        <v>157</v>
      </c>
      <c r="C17" s="39" t="s">
        <v>158</v>
      </c>
      <c r="D17" s="60">
        <v>2.3199999999999998</v>
      </c>
      <c r="E17" s="61">
        <v>0</v>
      </c>
      <c r="F17" s="62" t="s">
        <v>214</v>
      </c>
      <c r="G17" s="62" t="s">
        <v>142</v>
      </c>
      <c r="H17" s="62">
        <v>241.55635447723549</v>
      </c>
      <c r="I17" s="62">
        <f t="shared" si="1"/>
        <v>0</v>
      </c>
      <c r="J17" s="62">
        <v>0</v>
      </c>
      <c r="K17" s="62">
        <f t="shared" ref="K17" si="7">IF($G17="n",I17,MIN(I17:J17))</f>
        <v>0</v>
      </c>
      <c r="L17" s="61">
        <v>277.14657899999997</v>
      </c>
      <c r="M17" s="62">
        <f t="shared" si="2"/>
        <v>0</v>
      </c>
      <c r="N17" s="61">
        <v>0</v>
      </c>
      <c r="O17" s="62">
        <f t="shared" si="6"/>
        <v>0</v>
      </c>
      <c r="P17" s="61">
        <f t="shared" si="4"/>
        <v>0</v>
      </c>
      <c r="Q17" s="5"/>
      <c r="R17" s="5"/>
      <c r="S17" s="5"/>
      <c r="X17" s="11"/>
      <c r="Y17" s="11"/>
      <c r="Z17" s="10"/>
      <c r="AA17" s="10"/>
      <c r="AB17" s="10"/>
    </row>
    <row r="18" spans="1:28" s="27" customFormat="1" ht="20.149999999999999" customHeight="1">
      <c r="A18" s="26"/>
      <c r="B18" s="26"/>
      <c r="C18" s="26"/>
      <c r="D18" s="26"/>
      <c r="E18" s="52">
        <f>SUM(E5:E17)</f>
        <v>325.05020299999995</v>
      </c>
      <c r="F18" s="53"/>
      <c r="G18" s="53"/>
      <c r="H18" s="53"/>
      <c r="I18" s="53"/>
      <c r="J18" s="53"/>
      <c r="K18" s="53"/>
      <c r="L18" s="53"/>
      <c r="M18" s="53"/>
      <c r="N18" s="54"/>
      <c r="O18" s="55"/>
      <c r="P18" s="56">
        <f>SUM(P5:P17)</f>
        <v>210118.45</v>
      </c>
      <c r="Q18" s="26"/>
      <c r="R18" s="26"/>
      <c r="S18" s="26"/>
      <c r="X18" s="28"/>
      <c r="Y18" s="28"/>
      <c r="Z18" s="21"/>
      <c r="AA18" s="21"/>
      <c r="AB18" s="21"/>
    </row>
    <row r="19" spans="1:28" ht="19.5" customHeight="1">
      <c r="P19" s="14"/>
    </row>
    <row r="20" spans="1:28" ht="19.5" customHeight="1">
      <c r="P20" s="14"/>
    </row>
    <row r="22" spans="1:28" ht="19.5" customHeight="1">
      <c r="E22" s="74"/>
    </row>
    <row r="26" spans="1:28" ht="19.5" customHeight="1">
      <c r="H26" s="14"/>
      <c r="I26" s="14"/>
      <c r="J26" s="14"/>
      <c r="K26" s="14"/>
      <c r="L26" s="14"/>
      <c r="M26" s="14"/>
      <c r="N26" s="14"/>
      <c r="O26" s="14"/>
      <c r="P26" s="14"/>
    </row>
    <row r="27" spans="1:28" ht="19.5" customHeight="1">
      <c r="H27" s="14"/>
      <c r="I27" s="14"/>
      <c r="J27" s="14"/>
      <c r="K27" s="14"/>
      <c r="L27" s="14"/>
      <c r="M27" s="14"/>
      <c r="N27" s="14"/>
      <c r="O27" s="14"/>
      <c r="P27" s="14"/>
    </row>
    <row r="28" spans="1:28" ht="19.5" customHeight="1">
      <c r="H28" s="14"/>
      <c r="I28" s="14"/>
      <c r="J28" s="14"/>
      <c r="K28" s="14"/>
      <c r="L28" s="14"/>
      <c r="M28" s="14"/>
      <c r="N28" s="14"/>
      <c r="O28" s="14"/>
      <c r="P28" s="14"/>
    </row>
  </sheetData>
  <mergeCells count="2">
    <mergeCell ref="H3:K3"/>
    <mergeCell ref="L3:O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2"/>
  <sheetViews>
    <sheetView showGridLines="0" zoomScale="85" zoomScaleNormal="85" workbookViewId="0">
      <selection activeCell="P62" sqref="P62"/>
    </sheetView>
  </sheetViews>
  <sheetFormatPr defaultRowHeight="19.5" customHeight="1"/>
  <cols>
    <col min="1" max="3" width="30.6640625" customWidth="1"/>
    <col min="4" max="5" width="16.6640625" customWidth="1"/>
    <col min="6" max="6" width="22.1640625" customWidth="1"/>
    <col min="7" max="7" width="10.33203125" customWidth="1"/>
    <col min="8" max="16" width="16.6640625" customWidth="1"/>
    <col min="17" max="20" width="20.6640625" customWidth="1"/>
  </cols>
  <sheetData>
    <row r="1" spans="1:28" ht="49.5" customHeight="1">
      <c r="C1" s="51" t="str">
        <f>RESUMO!C1</f>
        <v>reembolso mensal CCC - RORAIMA</v>
      </c>
      <c r="H1" s="15"/>
      <c r="I1" s="15"/>
      <c r="J1" s="15"/>
      <c r="K1" s="15"/>
      <c r="L1" s="15"/>
      <c r="M1" s="15"/>
      <c r="N1" s="15"/>
      <c r="O1" s="15"/>
    </row>
    <row r="2" spans="1:28" ht="30" customHeight="1">
      <c r="C2" s="33" t="s">
        <v>239</v>
      </c>
      <c r="D2" s="13">
        <f>RESUMO!C2</f>
        <v>46143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8" s="9" customFormat="1" ht="30" customHeight="1">
      <c r="A3" s="7"/>
      <c r="B3" s="7"/>
      <c r="C3" s="7"/>
      <c r="D3" s="7"/>
      <c r="E3" s="8"/>
      <c r="F3" s="8"/>
      <c r="G3" s="31"/>
      <c r="H3" s="100" t="s">
        <v>262</v>
      </c>
      <c r="I3" s="100"/>
      <c r="J3" s="100"/>
      <c r="K3" s="100"/>
      <c r="L3" s="100" t="s">
        <v>262</v>
      </c>
      <c r="M3" s="100"/>
      <c r="N3" s="100"/>
      <c r="O3" s="100"/>
      <c r="P3" s="6"/>
      <c r="Q3" s="5"/>
      <c r="R3" s="5"/>
      <c r="S3" s="5"/>
      <c r="X3" s="11"/>
      <c r="Y3" s="11"/>
      <c r="Z3" s="10"/>
      <c r="AA3" s="10"/>
      <c r="AB3" s="10"/>
    </row>
    <row r="4" spans="1:28" s="9" customFormat="1" ht="56">
      <c r="A4" s="59" t="s">
        <v>216</v>
      </c>
      <c r="B4" s="59" t="s">
        <v>4</v>
      </c>
      <c r="C4" s="59" t="s">
        <v>217</v>
      </c>
      <c r="D4" s="59" t="s">
        <v>251</v>
      </c>
      <c r="E4" s="59" t="s">
        <v>252</v>
      </c>
      <c r="F4" s="59" t="s">
        <v>220</v>
      </c>
      <c r="G4" s="59" t="s">
        <v>253</v>
      </c>
      <c r="H4" s="59" t="s">
        <v>7</v>
      </c>
      <c r="I4" s="59" t="s">
        <v>254</v>
      </c>
      <c r="J4" s="59" t="s">
        <v>255</v>
      </c>
      <c r="K4" s="59" t="s">
        <v>256</v>
      </c>
      <c r="L4" s="59" t="s">
        <v>263</v>
      </c>
      <c r="M4" s="59" t="s">
        <v>258</v>
      </c>
      <c r="N4" s="59" t="s">
        <v>259</v>
      </c>
      <c r="O4" s="59" t="s">
        <v>260</v>
      </c>
      <c r="P4" s="59" t="s">
        <v>261</v>
      </c>
      <c r="Q4" s="5"/>
      <c r="R4" s="5"/>
      <c r="S4" s="5"/>
      <c r="X4" s="11"/>
      <c r="Y4" s="11"/>
      <c r="Z4" s="10"/>
      <c r="AA4" s="10"/>
      <c r="AB4" s="10"/>
    </row>
    <row r="5" spans="1:28" s="9" customFormat="1" ht="20.149999999999999" customHeight="1">
      <c r="A5" s="39" t="s">
        <v>17</v>
      </c>
      <c r="B5" s="39" t="s">
        <v>177</v>
      </c>
      <c r="C5" s="39" t="s">
        <v>178</v>
      </c>
      <c r="D5" s="60">
        <v>8</v>
      </c>
      <c r="E5" s="61">
        <v>3561.122582</v>
      </c>
      <c r="F5" s="62" t="s">
        <v>215</v>
      </c>
      <c r="G5" s="62" t="s">
        <v>143</v>
      </c>
      <c r="H5" s="62">
        <v>10.360988170381265</v>
      </c>
      <c r="I5" s="62">
        <f t="shared" ref="I5" si="0">E5*H5</f>
        <v>36896.748945379586</v>
      </c>
      <c r="J5" s="62">
        <v>0</v>
      </c>
      <c r="K5" s="62">
        <f>IF($G5="n",I5,MIN(I5:J5))</f>
        <v>36896.748945379586</v>
      </c>
      <c r="L5" s="61">
        <v>463.54</v>
      </c>
      <c r="M5" s="62">
        <f t="shared" ref="M5" si="1">E5*L5</f>
        <v>1650722.7616602802</v>
      </c>
      <c r="N5" s="61">
        <v>0</v>
      </c>
      <c r="O5" s="62">
        <f t="shared" ref="O5:O42" si="2">IF(G5="N",M5,IF(D5&gt;=18,N5,MIN(M5,N5)))</f>
        <v>1650722.7616602802</v>
      </c>
      <c r="P5" s="61">
        <f>K5+O5</f>
        <v>1687619.5106056598</v>
      </c>
      <c r="Q5" s="5"/>
      <c r="R5" s="5"/>
      <c r="S5" s="5"/>
      <c r="X5" s="11"/>
      <c r="Y5" s="11"/>
      <c r="Z5" s="10"/>
      <c r="AA5" s="10"/>
      <c r="AB5" s="10"/>
    </row>
    <row r="6" spans="1:28" s="9" customFormat="1" ht="20.149999999999999" customHeight="1">
      <c r="A6" s="39" t="s">
        <v>17</v>
      </c>
      <c r="B6" s="39" t="s">
        <v>18</v>
      </c>
      <c r="C6" s="39" t="s">
        <v>19</v>
      </c>
      <c r="D6" s="60">
        <v>1.9E-2</v>
      </c>
      <c r="E6" s="61">
        <v>0</v>
      </c>
      <c r="F6" s="62" t="s">
        <v>214</v>
      </c>
      <c r="G6" s="62" t="s">
        <v>143</v>
      </c>
      <c r="H6" s="62">
        <v>283.33964994798964</v>
      </c>
      <c r="I6" s="62">
        <f t="shared" ref="I6:I40" si="3">E6*H6</f>
        <v>0</v>
      </c>
      <c r="J6" s="62">
        <v>0</v>
      </c>
      <c r="K6" s="62">
        <f>IF($G6="n",I6,MIN(I6:J6))</f>
        <v>0</v>
      </c>
      <c r="L6" s="61">
        <v>463.54</v>
      </c>
      <c r="M6" s="62">
        <f t="shared" ref="M6" si="4">E6*L6</f>
        <v>0</v>
      </c>
      <c r="N6" s="61">
        <v>0</v>
      </c>
      <c r="O6" s="62">
        <f t="shared" si="2"/>
        <v>0</v>
      </c>
      <c r="P6" s="61">
        <f>K6+O6</f>
        <v>0</v>
      </c>
      <c r="Q6" s="29"/>
      <c r="R6" s="5"/>
      <c r="S6" s="5"/>
      <c r="X6" s="11"/>
      <c r="Y6" s="11"/>
      <c r="Z6" s="10"/>
      <c r="AA6" s="10"/>
      <c r="AB6" s="10"/>
    </row>
    <row r="7" spans="1:28" s="9" customFormat="1" ht="20.149999999999999" customHeight="1">
      <c r="A7" s="39" t="s">
        <v>17</v>
      </c>
      <c r="B7" s="39" t="s">
        <v>20</v>
      </c>
      <c r="C7" s="39" t="s">
        <v>21</v>
      </c>
      <c r="D7" s="60">
        <v>2.5999999999999999E-2</v>
      </c>
      <c r="E7" s="61">
        <v>0</v>
      </c>
      <c r="F7" s="62" t="s">
        <v>214</v>
      </c>
      <c r="G7" s="62" t="s">
        <v>143</v>
      </c>
      <c r="H7" s="62">
        <v>283.33964994798964</v>
      </c>
      <c r="I7" s="62">
        <f t="shared" si="3"/>
        <v>0</v>
      </c>
      <c r="J7" s="62">
        <v>0</v>
      </c>
      <c r="K7" s="62">
        <f t="shared" ref="K7:K61" si="5">IF($G7="n",I7,MIN(I7:J7))</f>
        <v>0</v>
      </c>
      <c r="L7" s="61">
        <v>463.54</v>
      </c>
      <c r="M7" s="62">
        <f t="shared" ref="M7:M61" si="6">E7*L7</f>
        <v>0</v>
      </c>
      <c r="N7" s="61">
        <v>0</v>
      </c>
      <c r="O7" s="62">
        <f t="shared" si="2"/>
        <v>0</v>
      </c>
      <c r="P7" s="61">
        <f t="shared" ref="P7:P61" si="7">K7+O7</f>
        <v>0</v>
      </c>
      <c r="Q7" s="5"/>
      <c r="R7" s="5"/>
      <c r="S7" s="5"/>
      <c r="X7" s="11"/>
      <c r="Y7" s="11"/>
      <c r="Z7" s="10"/>
      <c r="AA7" s="10"/>
      <c r="AB7" s="10"/>
    </row>
    <row r="8" spans="1:28" s="9" customFormat="1" ht="20.149999999999999" customHeight="1">
      <c r="A8" s="39" t="s">
        <v>17</v>
      </c>
      <c r="B8" s="39" t="s">
        <v>22</v>
      </c>
      <c r="C8" s="39" t="s">
        <v>23</v>
      </c>
      <c r="D8" s="60">
        <v>8.0000000000000002E-3</v>
      </c>
      <c r="E8" s="61">
        <v>1.12158</v>
      </c>
      <c r="F8" s="62" t="s">
        <v>214</v>
      </c>
      <c r="G8" s="62" t="s">
        <v>143</v>
      </c>
      <c r="H8" s="62">
        <v>283.33964994798964</v>
      </c>
      <c r="I8" s="62">
        <f t="shared" si="3"/>
        <v>317.78808458866621</v>
      </c>
      <c r="J8" s="62">
        <v>0</v>
      </c>
      <c r="K8" s="62">
        <f t="shared" si="5"/>
        <v>317.78808458866621</v>
      </c>
      <c r="L8" s="61">
        <v>463.54</v>
      </c>
      <c r="M8" s="62">
        <f t="shared" si="6"/>
        <v>519.89719320000006</v>
      </c>
      <c r="N8" s="61">
        <v>0</v>
      </c>
      <c r="O8" s="62">
        <f t="shared" si="2"/>
        <v>519.89719320000006</v>
      </c>
      <c r="P8" s="61">
        <f t="shared" si="7"/>
        <v>837.68527778866633</v>
      </c>
      <c r="Q8" s="5"/>
      <c r="R8" s="5"/>
      <c r="S8" s="5"/>
      <c r="X8" s="11"/>
      <c r="Y8" s="11"/>
      <c r="Z8" s="10"/>
      <c r="AA8" s="10"/>
      <c r="AB8" s="10"/>
    </row>
    <row r="9" spans="1:28" s="9" customFormat="1" ht="20.149999999999999" customHeight="1">
      <c r="A9" s="39" t="s">
        <v>17</v>
      </c>
      <c r="B9" s="39" t="s">
        <v>24</v>
      </c>
      <c r="C9" s="39" t="s">
        <v>25</v>
      </c>
      <c r="D9" s="60">
        <v>0.105</v>
      </c>
      <c r="E9" s="61">
        <v>11.97716</v>
      </c>
      <c r="F9" s="62" t="s">
        <v>214</v>
      </c>
      <c r="G9" s="62" t="s">
        <v>143</v>
      </c>
      <c r="H9" s="62">
        <v>287.03422887320266</v>
      </c>
      <c r="I9" s="62">
        <f t="shared" si="3"/>
        <v>3437.854884690968</v>
      </c>
      <c r="J9" s="62">
        <v>0</v>
      </c>
      <c r="K9" s="62">
        <f t="shared" si="5"/>
        <v>3437.854884690968</v>
      </c>
      <c r="L9" s="61">
        <v>463.54</v>
      </c>
      <c r="M9" s="62">
        <f t="shared" si="6"/>
        <v>5551.8927463999999</v>
      </c>
      <c r="N9" s="61">
        <v>0</v>
      </c>
      <c r="O9" s="62">
        <f t="shared" si="2"/>
        <v>5551.8927463999999</v>
      </c>
      <c r="P9" s="61">
        <f t="shared" si="7"/>
        <v>8989.7476310909678</v>
      </c>
      <c r="Q9" s="5"/>
      <c r="R9" s="5"/>
      <c r="S9" s="5"/>
      <c r="X9" s="11"/>
      <c r="Y9" s="11"/>
      <c r="Z9" s="10"/>
      <c r="AA9" s="10"/>
      <c r="AB9" s="10"/>
    </row>
    <row r="10" spans="1:28" s="9" customFormat="1" ht="20.149999999999999" customHeight="1">
      <c r="A10" s="39" t="s">
        <v>17</v>
      </c>
      <c r="B10" s="39" t="s">
        <v>26</v>
      </c>
      <c r="C10" s="39" t="s">
        <v>27</v>
      </c>
      <c r="D10" s="60">
        <v>5.0999999999999997E-2</v>
      </c>
      <c r="E10" s="61">
        <v>0</v>
      </c>
      <c r="F10" s="62" t="s">
        <v>214</v>
      </c>
      <c r="G10" s="62" t="s">
        <v>143</v>
      </c>
      <c r="H10" s="62">
        <v>283.33964994798964</v>
      </c>
      <c r="I10" s="62">
        <f t="shared" si="3"/>
        <v>0</v>
      </c>
      <c r="J10" s="62">
        <v>0</v>
      </c>
      <c r="K10" s="62">
        <f t="shared" si="5"/>
        <v>0</v>
      </c>
      <c r="L10" s="61">
        <v>463.54</v>
      </c>
      <c r="M10" s="62">
        <f t="shared" si="6"/>
        <v>0</v>
      </c>
      <c r="N10" s="61">
        <v>0</v>
      </c>
      <c r="O10" s="62">
        <f t="shared" si="2"/>
        <v>0</v>
      </c>
      <c r="P10" s="61">
        <f t="shared" si="7"/>
        <v>0</v>
      </c>
      <c r="Q10" s="5"/>
      <c r="R10" s="5"/>
      <c r="S10" s="5"/>
      <c r="X10" s="11"/>
      <c r="Y10" s="11"/>
      <c r="Z10" s="10"/>
      <c r="AA10" s="10"/>
      <c r="AB10" s="10"/>
    </row>
    <row r="11" spans="1:28" s="9" customFormat="1" ht="20.149999999999999" customHeight="1">
      <c r="A11" s="39" t="s">
        <v>17</v>
      </c>
      <c r="B11" s="39" t="s">
        <v>146</v>
      </c>
      <c r="C11" s="39" t="s">
        <v>147</v>
      </c>
      <c r="D11" s="60">
        <v>3.5000000000000003E-2</v>
      </c>
      <c r="E11" s="61">
        <v>0</v>
      </c>
      <c r="F11" s="62" t="s">
        <v>214</v>
      </c>
      <c r="G11" s="62" t="s">
        <v>143</v>
      </c>
      <c r="H11" s="62">
        <v>283.33964994798964</v>
      </c>
      <c r="I11" s="62">
        <f t="shared" ref="I11" si="8">E11*H11</f>
        <v>0</v>
      </c>
      <c r="J11" s="62">
        <v>0</v>
      </c>
      <c r="K11" s="62">
        <f t="shared" ref="K11" si="9">IF($G11="n",I11,MIN(I11:J11))</f>
        <v>0</v>
      </c>
      <c r="L11" s="61">
        <v>463.54</v>
      </c>
      <c r="M11" s="62">
        <f t="shared" ref="M11" si="10">E11*L11</f>
        <v>0</v>
      </c>
      <c r="N11" s="61">
        <v>0</v>
      </c>
      <c r="O11" s="62">
        <f t="shared" si="2"/>
        <v>0</v>
      </c>
      <c r="P11" s="61">
        <f t="shared" ref="P11" si="11">K11+O11</f>
        <v>0</v>
      </c>
      <c r="Q11" s="5"/>
      <c r="R11" s="5"/>
      <c r="S11" s="5"/>
      <c r="X11" s="11"/>
      <c r="Y11" s="11"/>
      <c r="Z11" s="10"/>
      <c r="AA11" s="10"/>
      <c r="AB11" s="10"/>
    </row>
    <row r="12" spans="1:28" s="9" customFormat="1" ht="20.149999999999999" customHeight="1">
      <c r="A12" s="39" t="s">
        <v>17</v>
      </c>
      <c r="B12" s="39" t="s">
        <v>30</v>
      </c>
      <c r="C12" s="39" t="s">
        <v>31</v>
      </c>
      <c r="D12" s="60">
        <v>1.9E-2</v>
      </c>
      <c r="E12" s="61">
        <v>1.3653499999999998</v>
      </c>
      <c r="F12" s="62" t="s">
        <v>214</v>
      </c>
      <c r="G12" s="62" t="s">
        <v>143</v>
      </c>
      <c r="H12" s="62">
        <v>283.33964994798964</v>
      </c>
      <c r="I12" s="62">
        <f t="shared" si="3"/>
        <v>386.8577910564876</v>
      </c>
      <c r="J12" s="62">
        <v>0</v>
      </c>
      <c r="K12" s="62">
        <f t="shared" si="5"/>
        <v>386.8577910564876</v>
      </c>
      <c r="L12" s="61">
        <v>463.54</v>
      </c>
      <c r="M12" s="62">
        <f t="shared" si="6"/>
        <v>632.89433899999995</v>
      </c>
      <c r="N12" s="61">
        <v>0</v>
      </c>
      <c r="O12" s="62">
        <f t="shared" si="2"/>
        <v>632.89433899999995</v>
      </c>
      <c r="P12" s="61">
        <f t="shared" si="7"/>
        <v>1019.7521300564875</v>
      </c>
      <c r="Q12" s="5"/>
      <c r="R12" s="5"/>
      <c r="S12" s="5"/>
      <c r="X12" s="11"/>
      <c r="Y12" s="11"/>
      <c r="Z12" s="10"/>
      <c r="AA12" s="10"/>
      <c r="AB12" s="10"/>
    </row>
    <row r="13" spans="1:28" s="9" customFormat="1" ht="20.149999999999999" customHeight="1">
      <c r="A13" s="39" t="s">
        <v>17</v>
      </c>
      <c r="B13" s="39" t="s">
        <v>32</v>
      </c>
      <c r="C13" s="39" t="s">
        <v>33</v>
      </c>
      <c r="D13" s="60">
        <v>0.14399999999999999</v>
      </c>
      <c r="E13" s="61">
        <v>0</v>
      </c>
      <c r="F13" s="62" t="s">
        <v>214</v>
      </c>
      <c r="G13" s="62" t="s">
        <v>143</v>
      </c>
      <c r="H13" s="62">
        <v>287.03422887320266</v>
      </c>
      <c r="I13" s="62">
        <f t="shared" si="3"/>
        <v>0</v>
      </c>
      <c r="J13" s="62">
        <v>0</v>
      </c>
      <c r="K13" s="62">
        <f t="shared" si="5"/>
        <v>0</v>
      </c>
      <c r="L13" s="61">
        <v>463.54</v>
      </c>
      <c r="M13" s="62">
        <f t="shared" si="6"/>
        <v>0</v>
      </c>
      <c r="N13" s="61">
        <v>0</v>
      </c>
      <c r="O13" s="62">
        <f t="shared" si="2"/>
        <v>0</v>
      </c>
      <c r="P13" s="61">
        <f t="shared" si="7"/>
        <v>0</v>
      </c>
      <c r="Q13" s="5"/>
      <c r="R13" s="5"/>
      <c r="S13" s="5"/>
      <c r="X13" s="11"/>
      <c r="Y13" s="11"/>
      <c r="Z13" s="10"/>
      <c r="AA13" s="10"/>
      <c r="AB13" s="10"/>
    </row>
    <row r="14" spans="1:28" s="9" customFormat="1" ht="20.149999999999999" customHeight="1">
      <c r="A14" s="39" t="s">
        <v>17</v>
      </c>
      <c r="B14" s="39" t="s">
        <v>34</v>
      </c>
      <c r="C14" s="39" t="s">
        <v>35</v>
      </c>
      <c r="D14" s="60">
        <v>8.0000000000000002E-3</v>
      </c>
      <c r="E14" s="61">
        <v>0</v>
      </c>
      <c r="F14" s="62" t="s">
        <v>214</v>
      </c>
      <c r="G14" s="62" t="s">
        <v>143</v>
      </c>
      <c r="H14" s="62">
        <v>283.33964994798964</v>
      </c>
      <c r="I14" s="62">
        <f t="shared" si="3"/>
        <v>0</v>
      </c>
      <c r="J14" s="62">
        <v>0</v>
      </c>
      <c r="K14" s="62">
        <f t="shared" si="5"/>
        <v>0</v>
      </c>
      <c r="L14" s="61">
        <v>463.54</v>
      </c>
      <c r="M14" s="62">
        <f t="shared" si="6"/>
        <v>0</v>
      </c>
      <c r="N14" s="61">
        <v>0</v>
      </c>
      <c r="O14" s="62">
        <f t="shared" si="2"/>
        <v>0</v>
      </c>
      <c r="P14" s="61">
        <f t="shared" si="7"/>
        <v>0</v>
      </c>
      <c r="Q14" s="5"/>
      <c r="R14" s="5"/>
      <c r="S14" s="5"/>
      <c r="X14" s="11"/>
      <c r="Y14" s="11"/>
      <c r="Z14" s="10"/>
      <c r="AA14" s="10"/>
      <c r="AB14" s="10"/>
    </row>
    <row r="15" spans="1:28" s="9" customFormat="1" ht="20.149999999999999" customHeight="1">
      <c r="A15" s="39" t="s">
        <v>17</v>
      </c>
      <c r="B15" s="39" t="s">
        <v>159</v>
      </c>
      <c r="C15" s="39" t="s">
        <v>160</v>
      </c>
      <c r="D15" s="60">
        <v>1.9E-2</v>
      </c>
      <c r="E15" s="61">
        <v>0.43319000000000002</v>
      </c>
      <c r="F15" s="62" t="s">
        <v>214</v>
      </c>
      <c r="G15" s="62" t="s">
        <v>143</v>
      </c>
      <c r="H15" s="62">
        <v>283.33964994798964</v>
      </c>
      <c r="I15" s="62">
        <f t="shared" ref="I15" si="12">E15*H15</f>
        <v>122.73990296096964</v>
      </c>
      <c r="J15" s="62">
        <v>0</v>
      </c>
      <c r="K15" s="62">
        <f t="shared" ref="K15" si="13">IF($G15="n",I15,MIN(I15:J15))</f>
        <v>122.73990296096964</v>
      </c>
      <c r="L15" s="61">
        <v>463.54</v>
      </c>
      <c r="M15" s="62">
        <f t="shared" ref="M15" si="14">E15*L15</f>
        <v>200.80089260000003</v>
      </c>
      <c r="N15" s="61">
        <v>0</v>
      </c>
      <c r="O15" s="62">
        <f t="shared" si="2"/>
        <v>200.80089260000003</v>
      </c>
      <c r="P15" s="61">
        <f t="shared" ref="P15" si="15">K15+O15</f>
        <v>323.54079556096968</v>
      </c>
      <c r="Q15" s="5"/>
      <c r="R15" s="5"/>
      <c r="S15" s="5"/>
      <c r="X15" s="11"/>
      <c r="Y15" s="11"/>
      <c r="Z15" s="10"/>
      <c r="AA15" s="10"/>
      <c r="AB15" s="10"/>
    </row>
    <row r="16" spans="1:28" s="9" customFormat="1" ht="20.149999999999999" customHeight="1">
      <c r="A16" s="39" t="s">
        <v>17</v>
      </c>
      <c r="B16" s="39" t="s">
        <v>36</v>
      </c>
      <c r="C16" s="39" t="s">
        <v>37</v>
      </c>
      <c r="D16" s="60">
        <v>0</v>
      </c>
      <c r="E16" s="61">
        <v>0</v>
      </c>
      <c r="F16" s="62" t="s">
        <v>214</v>
      </c>
      <c r="G16" s="62" t="s">
        <v>143</v>
      </c>
      <c r="H16" s="62">
        <v>283.33964994798964</v>
      </c>
      <c r="I16" s="62">
        <f t="shared" si="3"/>
        <v>0</v>
      </c>
      <c r="J16" s="62">
        <v>0</v>
      </c>
      <c r="K16" s="62">
        <f t="shared" si="5"/>
        <v>0</v>
      </c>
      <c r="L16" s="61">
        <v>463.54</v>
      </c>
      <c r="M16" s="62">
        <f t="shared" si="6"/>
        <v>0</v>
      </c>
      <c r="N16" s="61">
        <v>0</v>
      </c>
      <c r="O16" s="62">
        <f t="shared" si="2"/>
        <v>0</v>
      </c>
      <c r="P16" s="61">
        <f t="shared" si="7"/>
        <v>0</v>
      </c>
      <c r="Q16" s="5"/>
      <c r="R16" s="5"/>
      <c r="S16" s="5"/>
      <c r="X16" s="11"/>
      <c r="Y16" s="11"/>
      <c r="Z16" s="10"/>
      <c r="AA16" s="10"/>
      <c r="AB16" s="10"/>
    </row>
    <row r="17" spans="1:28" s="9" customFormat="1" ht="20.149999999999999" customHeight="1">
      <c r="A17" s="39" t="s">
        <v>17</v>
      </c>
      <c r="B17" s="39" t="s">
        <v>38</v>
      </c>
      <c r="C17" s="39" t="s">
        <v>39</v>
      </c>
      <c r="D17" s="60">
        <v>1E-3</v>
      </c>
      <c r="E17" s="61">
        <v>0</v>
      </c>
      <c r="F17" s="62" t="s">
        <v>214</v>
      </c>
      <c r="G17" s="62" t="s">
        <v>143</v>
      </c>
      <c r="H17" s="62">
        <v>283.33964994798964</v>
      </c>
      <c r="I17" s="62">
        <f t="shared" si="3"/>
        <v>0</v>
      </c>
      <c r="J17" s="62">
        <v>0</v>
      </c>
      <c r="K17" s="62">
        <f t="shared" si="5"/>
        <v>0</v>
      </c>
      <c r="L17" s="61">
        <v>463.54</v>
      </c>
      <c r="M17" s="62">
        <f t="shared" si="6"/>
        <v>0</v>
      </c>
      <c r="N17" s="61">
        <v>0</v>
      </c>
      <c r="O17" s="62">
        <f t="shared" si="2"/>
        <v>0</v>
      </c>
      <c r="P17" s="61">
        <f t="shared" si="7"/>
        <v>0</v>
      </c>
      <c r="Q17" s="5"/>
      <c r="R17" s="5"/>
      <c r="S17" s="5"/>
      <c r="X17" s="11"/>
      <c r="Y17" s="11"/>
      <c r="Z17" s="10"/>
      <c r="AA17" s="10"/>
      <c r="AB17" s="10"/>
    </row>
    <row r="18" spans="1:28" s="9" customFormat="1" ht="20.149999999999999" customHeight="1">
      <c r="A18" s="39" t="s">
        <v>17</v>
      </c>
      <c r="B18" s="39" t="s">
        <v>40</v>
      </c>
      <c r="C18" s="39" t="s">
        <v>41</v>
      </c>
      <c r="D18" s="60">
        <v>8.0000000000000002E-3</v>
      </c>
      <c r="E18" s="61">
        <v>0</v>
      </c>
      <c r="F18" s="62" t="s">
        <v>214</v>
      </c>
      <c r="G18" s="62" t="s">
        <v>143</v>
      </c>
      <c r="H18" s="62">
        <v>283.33964994798964</v>
      </c>
      <c r="I18" s="62">
        <f t="shared" si="3"/>
        <v>0</v>
      </c>
      <c r="J18" s="62">
        <v>0</v>
      </c>
      <c r="K18" s="62">
        <f t="shared" si="5"/>
        <v>0</v>
      </c>
      <c r="L18" s="61">
        <v>463.54</v>
      </c>
      <c r="M18" s="62">
        <f t="shared" si="6"/>
        <v>0</v>
      </c>
      <c r="N18" s="61">
        <v>0</v>
      </c>
      <c r="O18" s="62">
        <f t="shared" si="2"/>
        <v>0</v>
      </c>
      <c r="P18" s="61">
        <f t="shared" si="7"/>
        <v>0</v>
      </c>
      <c r="Q18" s="5"/>
      <c r="R18" s="5"/>
      <c r="S18" s="5"/>
      <c r="X18" s="11"/>
      <c r="Y18" s="11"/>
      <c r="Z18" s="10"/>
      <c r="AA18" s="10"/>
      <c r="AB18" s="10"/>
    </row>
    <row r="19" spans="1:28" s="9" customFormat="1" ht="20.149999999999999" customHeight="1">
      <c r="A19" s="39" t="s">
        <v>17</v>
      </c>
      <c r="B19" s="39" t="s">
        <v>42</v>
      </c>
      <c r="C19" s="39" t="s">
        <v>43</v>
      </c>
      <c r="D19" s="60">
        <v>1E-3</v>
      </c>
      <c r="E19" s="61">
        <v>1.9069</v>
      </c>
      <c r="F19" s="62" t="s">
        <v>214</v>
      </c>
      <c r="G19" s="62" t="s">
        <v>143</v>
      </c>
      <c r="H19" s="62">
        <v>283.33964994798964</v>
      </c>
      <c r="I19" s="62">
        <f t="shared" si="3"/>
        <v>540.30037848582151</v>
      </c>
      <c r="J19" s="62">
        <v>0</v>
      </c>
      <c r="K19" s="62">
        <f t="shared" si="5"/>
        <v>540.30037848582151</v>
      </c>
      <c r="L19" s="61">
        <v>463.54</v>
      </c>
      <c r="M19" s="62">
        <f t="shared" si="6"/>
        <v>883.92442600000004</v>
      </c>
      <c r="N19" s="61">
        <v>0</v>
      </c>
      <c r="O19" s="62">
        <f t="shared" si="2"/>
        <v>883.92442600000004</v>
      </c>
      <c r="P19" s="61">
        <f t="shared" si="7"/>
        <v>1424.2248044858216</v>
      </c>
      <c r="Q19" s="5"/>
      <c r="R19" s="5"/>
      <c r="S19" s="5"/>
      <c r="X19" s="11"/>
      <c r="Y19" s="11"/>
      <c r="Z19" s="10"/>
      <c r="AA19" s="10"/>
      <c r="AB19" s="10"/>
    </row>
    <row r="20" spans="1:28" s="9" customFormat="1" ht="20.149999999999999" customHeight="1">
      <c r="A20" s="39" t="s">
        <v>17</v>
      </c>
      <c r="B20" s="39" t="s">
        <v>44</v>
      </c>
      <c r="C20" s="39" t="s">
        <v>45</v>
      </c>
      <c r="D20" s="60">
        <v>0.14399999999999999</v>
      </c>
      <c r="E20" s="61">
        <v>0</v>
      </c>
      <c r="F20" s="62" t="s">
        <v>214</v>
      </c>
      <c r="G20" s="62" t="s">
        <v>143</v>
      </c>
      <c r="H20" s="62">
        <v>287.03422887320266</v>
      </c>
      <c r="I20" s="62">
        <f t="shared" si="3"/>
        <v>0</v>
      </c>
      <c r="J20" s="62">
        <v>0</v>
      </c>
      <c r="K20" s="62">
        <f t="shared" si="5"/>
        <v>0</v>
      </c>
      <c r="L20" s="61">
        <v>463.54</v>
      </c>
      <c r="M20" s="62">
        <f t="shared" si="6"/>
        <v>0</v>
      </c>
      <c r="N20" s="61">
        <v>0</v>
      </c>
      <c r="O20" s="62">
        <f t="shared" si="2"/>
        <v>0</v>
      </c>
      <c r="P20" s="61">
        <f t="shared" si="7"/>
        <v>0</v>
      </c>
      <c r="Q20" s="5"/>
      <c r="R20" s="5"/>
      <c r="S20" s="5"/>
      <c r="X20" s="11"/>
      <c r="Y20" s="11"/>
      <c r="Z20" s="10"/>
      <c r="AA20" s="10"/>
      <c r="AB20" s="10"/>
    </row>
    <row r="21" spans="1:28" s="9" customFormat="1" ht="20.149999999999999" customHeight="1">
      <c r="A21" s="39" t="s">
        <v>17</v>
      </c>
      <c r="B21" s="39" t="s">
        <v>46</v>
      </c>
      <c r="C21" s="39" t="s">
        <v>47</v>
      </c>
      <c r="D21" s="60">
        <v>6.4000000000000001E-2</v>
      </c>
      <c r="E21" s="61">
        <v>0</v>
      </c>
      <c r="F21" s="62" t="s">
        <v>214</v>
      </c>
      <c r="G21" s="62" t="s">
        <v>143</v>
      </c>
      <c r="H21" s="62">
        <v>283.33964994798964</v>
      </c>
      <c r="I21" s="62">
        <f t="shared" si="3"/>
        <v>0</v>
      </c>
      <c r="J21" s="62">
        <v>0</v>
      </c>
      <c r="K21" s="62">
        <f t="shared" si="5"/>
        <v>0</v>
      </c>
      <c r="L21" s="61">
        <v>463.54</v>
      </c>
      <c r="M21" s="62">
        <f t="shared" si="6"/>
        <v>0</v>
      </c>
      <c r="N21" s="61">
        <v>0</v>
      </c>
      <c r="O21" s="62">
        <f t="shared" si="2"/>
        <v>0</v>
      </c>
      <c r="P21" s="61">
        <f t="shared" si="7"/>
        <v>0</v>
      </c>
      <c r="Q21" s="5"/>
      <c r="R21" s="5"/>
      <c r="S21" s="5"/>
      <c r="X21" s="11"/>
      <c r="Y21" s="11"/>
      <c r="Z21" s="10"/>
      <c r="AA21" s="10"/>
      <c r="AB21" s="10"/>
    </row>
    <row r="22" spans="1:28" s="9" customFormat="1" ht="20.149999999999999" customHeight="1">
      <c r="A22" s="39" t="s">
        <v>17</v>
      </c>
      <c r="B22" s="39" t="s">
        <v>48</v>
      </c>
      <c r="C22" s="39" t="s">
        <v>49</v>
      </c>
      <c r="D22" s="60">
        <v>1.9E-2</v>
      </c>
      <c r="E22" s="61">
        <v>0</v>
      </c>
      <c r="F22" s="62" t="s">
        <v>214</v>
      </c>
      <c r="G22" s="62" t="s">
        <v>143</v>
      </c>
      <c r="H22" s="62">
        <v>283.33964994798964</v>
      </c>
      <c r="I22" s="62">
        <f t="shared" si="3"/>
        <v>0</v>
      </c>
      <c r="J22" s="62">
        <v>0</v>
      </c>
      <c r="K22" s="62">
        <f t="shared" si="5"/>
        <v>0</v>
      </c>
      <c r="L22" s="61">
        <v>463.54</v>
      </c>
      <c r="M22" s="62">
        <f t="shared" si="6"/>
        <v>0</v>
      </c>
      <c r="N22" s="61">
        <v>0</v>
      </c>
      <c r="O22" s="62">
        <f t="shared" si="2"/>
        <v>0</v>
      </c>
      <c r="P22" s="61">
        <f t="shared" si="7"/>
        <v>0</v>
      </c>
      <c r="Q22" s="5"/>
      <c r="R22" s="5"/>
      <c r="S22" s="5"/>
      <c r="X22" s="11"/>
      <c r="Y22" s="11"/>
      <c r="Z22" s="10"/>
      <c r="AA22" s="10"/>
      <c r="AB22" s="10"/>
    </row>
    <row r="23" spans="1:28" s="9" customFormat="1" ht="20.149999999999999" customHeight="1">
      <c r="A23" s="39" t="s">
        <v>17</v>
      </c>
      <c r="B23" s="39" t="s">
        <v>50</v>
      </c>
      <c r="C23" s="39" t="s">
        <v>51</v>
      </c>
      <c r="D23" s="60">
        <v>8.0000000000000002E-3</v>
      </c>
      <c r="E23" s="61">
        <v>0</v>
      </c>
      <c r="F23" s="62" t="s">
        <v>214</v>
      </c>
      <c r="G23" s="62" t="s">
        <v>143</v>
      </c>
      <c r="H23" s="62">
        <v>283.33964994798964</v>
      </c>
      <c r="I23" s="62">
        <f t="shared" si="3"/>
        <v>0</v>
      </c>
      <c r="J23" s="62">
        <v>0</v>
      </c>
      <c r="K23" s="62">
        <f t="shared" si="5"/>
        <v>0</v>
      </c>
      <c r="L23" s="61">
        <v>463.54</v>
      </c>
      <c r="M23" s="62">
        <f t="shared" si="6"/>
        <v>0</v>
      </c>
      <c r="N23" s="61">
        <v>0</v>
      </c>
      <c r="O23" s="62">
        <f t="shared" si="2"/>
        <v>0</v>
      </c>
      <c r="P23" s="61">
        <f t="shared" si="7"/>
        <v>0</v>
      </c>
      <c r="Q23" s="5"/>
      <c r="R23" s="5"/>
      <c r="S23" s="5"/>
      <c r="X23" s="11"/>
      <c r="Y23" s="11"/>
      <c r="Z23" s="10"/>
      <c r="AA23" s="10"/>
      <c r="AB23" s="10"/>
    </row>
    <row r="24" spans="1:28" s="9" customFormat="1" ht="20.149999999999999" customHeight="1">
      <c r="A24" s="39" t="s">
        <v>17</v>
      </c>
      <c r="B24" s="39" t="s">
        <v>52</v>
      </c>
      <c r="C24" s="39" t="s">
        <v>53</v>
      </c>
      <c r="D24" s="60">
        <v>8.0000000000000002E-3</v>
      </c>
      <c r="E24" s="61">
        <v>0</v>
      </c>
      <c r="F24" s="62" t="s">
        <v>214</v>
      </c>
      <c r="G24" s="62" t="s">
        <v>143</v>
      </c>
      <c r="H24" s="62">
        <v>283.33964994798964</v>
      </c>
      <c r="I24" s="62">
        <f t="shared" si="3"/>
        <v>0</v>
      </c>
      <c r="J24" s="62">
        <v>0</v>
      </c>
      <c r="K24" s="62">
        <f t="shared" si="5"/>
        <v>0</v>
      </c>
      <c r="L24" s="61">
        <v>463.54</v>
      </c>
      <c r="M24" s="62">
        <f t="shared" si="6"/>
        <v>0</v>
      </c>
      <c r="N24" s="61">
        <v>0</v>
      </c>
      <c r="O24" s="62">
        <f t="shared" si="2"/>
        <v>0</v>
      </c>
      <c r="P24" s="61">
        <f t="shared" si="7"/>
        <v>0</v>
      </c>
      <c r="Q24" s="5"/>
      <c r="R24" s="5"/>
      <c r="S24" s="5"/>
      <c r="X24" s="11"/>
      <c r="Y24" s="11"/>
      <c r="Z24" s="10"/>
      <c r="AA24" s="10"/>
      <c r="AB24" s="10"/>
    </row>
    <row r="25" spans="1:28" s="9" customFormat="1" ht="20.149999999999999" customHeight="1">
      <c r="A25" s="39" t="s">
        <v>17</v>
      </c>
      <c r="B25" s="39" t="s">
        <v>54</v>
      </c>
      <c r="C25" s="39" t="s">
        <v>55</v>
      </c>
      <c r="D25" s="60">
        <v>3.5000000000000003E-2</v>
      </c>
      <c r="E25" s="61">
        <v>5.5492700000000008</v>
      </c>
      <c r="F25" s="62" t="s">
        <v>214</v>
      </c>
      <c r="G25" s="62" t="s">
        <v>143</v>
      </c>
      <c r="H25" s="62">
        <v>283.33964994798964</v>
      </c>
      <c r="I25" s="62">
        <f t="shared" si="3"/>
        <v>1572.3282192668808</v>
      </c>
      <c r="J25" s="62">
        <v>0</v>
      </c>
      <c r="K25" s="62">
        <f t="shared" si="5"/>
        <v>1572.3282192668808</v>
      </c>
      <c r="L25" s="61">
        <v>463.54</v>
      </c>
      <c r="M25" s="62">
        <f t="shared" si="6"/>
        <v>2572.3086158000006</v>
      </c>
      <c r="N25" s="61">
        <v>0</v>
      </c>
      <c r="O25" s="62">
        <f t="shared" si="2"/>
        <v>2572.3086158000006</v>
      </c>
      <c r="P25" s="61">
        <f t="shared" si="7"/>
        <v>4144.6368350668818</v>
      </c>
      <c r="Q25" s="5"/>
      <c r="R25" s="5"/>
      <c r="S25" s="5"/>
      <c r="X25" s="11"/>
      <c r="Y25" s="11"/>
      <c r="Z25" s="10"/>
      <c r="AA25" s="10"/>
      <c r="AB25" s="10"/>
    </row>
    <row r="26" spans="1:28" s="9" customFormat="1" ht="20.149999999999999" customHeight="1">
      <c r="A26" s="39" t="s">
        <v>17</v>
      </c>
      <c r="B26" s="39" t="s">
        <v>153</v>
      </c>
      <c r="C26" s="39" t="s">
        <v>154</v>
      </c>
      <c r="D26" s="60">
        <v>8.0000000000000002E-3</v>
      </c>
      <c r="E26" s="61">
        <v>0</v>
      </c>
      <c r="F26" s="62" t="s">
        <v>214</v>
      </c>
      <c r="G26" s="62" t="s">
        <v>143</v>
      </c>
      <c r="H26" s="62">
        <v>283.33964994798964</v>
      </c>
      <c r="I26" s="62">
        <f t="shared" ref="I26" si="16">E26*H26</f>
        <v>0</v>
      </c>
      <c r="J26" s="62">
        <v>0</v>
      </c>
      <c r="K26" s="62">
        <f t="shared" ref="K26" si="17">IF($G26="n",I26,MIN(I26:J26))</f>
        <v>0</v>
      </c>
      <c r="L26" s="61">
        <v>463.54</v>
      </c>
      <c r="M26" s="62">
        <f t="shared" ref="M26" si="18">E26*L26</f>
        <v>0</v>
      </c>
      <c r="N26" s="61">
        <v>0</v>
      </c>
      <c r="O26" s="62">
        <f t="shared" si="2"/>
        <v>0</v>
      </c>
      <c r="P26" s="61">
        <f t="shared" ref="P26" si="19">K26+O26</f>
        <v>0</v>
      </c>
      <c r="R26" s="5"/>
      <c r="S26" s="5"/>
      <c r="X26" s="11"/>
      <c r="Y26" s="11"/>
      <c r="Z26" s="10"/>
      <c r="AA26" s="10"/>
      <c r="AB26" s="10"/>
    </row>
    <row r="27" spans="1:28" s="9" customFormat="1" ht="20.149999999999999" customHeight="1">
      <c r="A27" s="39" t="s">
        <v>17</v>
      </c>
      <c r="B27" s="39" t="s">
        <v>56</v>
      </c>
      <c r="C27" s="39" t="s">
        <v>57</v>
      </c>
      <c r="D27" s="60">
        <v>8.0000000000000002E-3</v>
      </c>
      <c r="E27" s="61">
        <v>0</v>
      </c>
      <c r="F27" s="62" t="s">
        <v>214</v>
      </c>
      <c r="G27" s="62" t="s">
        <v>143</v>
      </c>
      <c r="H27" s="62">
        <v>283.33964994798964</v>
      </c>
      <c r="I27" s="62">
        <f t="shared" si="3"/>
        <v>0</v>
      </c>
      <c r="J27" s="62">
        <v>0</v>
      </c>
      <c r="K27" s="62">
        <f t="shared" si="5"/>
        <v>0</v>
      </c>
      <c r="L27" s="61">
        <v>463.54</v>
      </c>
      <c r="M27" s="62">
        <f t="shared" si="6"/>
        <v>0</v>
      </c>
      <c r="N27" s="61">
        <v>0</v>
      </c>
      <c r="O27" s="62">
        <f t="shared" si="2"/>
        <v>0</v>
      </c>
      <c r="P27" s="61">
        <f t="shared" si="7"/>
        <v>0</v>
      </c>
      <c r="Q27" s="5"/>
      <c r="R27" s="5"/>
      <c r="S27" s="5"/>
      <c r="X27" s="11"/>
      <c r="Y27" s="11"/>
      <c r="Z27" s="10"/>
      <c r="AA27" s="10"/>
      <c r="AB27" s="10"/>
    </row>
    <row r="28" spans="1:28" s="9" customFormat="1" ht="20.149999999999999" customHeight="1">
      <c r="A28" s="39" t="s">
        <v>17</v>
      </c>
      <c r="B28" s="39" t="s">
        <v>58</v>
      </c>
      <c r="C28" s="39" t="s">
        <v>59</v>
      </c>
      <c r="D28" s="60">
        <v>8.0000000000000002E-3</v>
      </c>
      <c r="E28" s="61">
        <v>2.02739</v>
      </c>
      <c r="F28" s="62" t="s">
        <v>214</v>
      </c>
      <c r="G28" s="62" t="s">
        <v>143</v>
      </c>
      <c r="H28" s="62">
        <v>283.33964994798964</v>
      </c>
      <c r="I28" s="62">
        <f t="shared" si="3"/>
        <v>574.43997290805476</v>
      </c>
      <c r="J28" s="62">
        <v>0</v>
      </c>
      <c r="K28" s="62">
        <f t="shared" si="5"/>
        <v>574.43997290805476</v>
      </c>
      <c r="L28" s="61">
        <v>463.54</v>
      </c>
      <c r="M28" s="62">
        <f t="shared" si="6"/>
        <v>939.77636060000009</v>
      </c>
      <c r="N28" s="61">
        <v>0</v>
      </c>
      <c r="O28" s="62">
        <f t="shared" si="2"/>
        <v>939.77636060000009</v>
      </c>
      <c r="P28" s="61">
        <f t="shared" si="7"/>
        <v>1514.216333508055</v>
      </c>
      <c r="Q28" s="5"/>
      <c r="R28" s="5"/>
      <c r="S28" s="5"/>
      <c r="X28" s="11"/>
      <c r="Y28" s="11"/>
      <c r="Z28" s="10"/>
      <c r="AA28" s="10"/>
      <c r="AB28" s="10"/>
    </row>
    <row r="29" spans="1:28" s="9" customFormat="1" ht="20.149999999999999" customHeight="1">
      <c r="A29" s="39" t="s">
        <v>17</v>
      </c>
      <c r="B29" s="39" t="s">
        <v>60</v>
      </c>
      <c r="C29" s="39" t="s">
        <v>61</v>
      </c>
      <c r="D29" s="60">
        <v>5.0999999999999997E-2</v>
      </c>
      <c r="E29" s="61">
        <v>3.5489099999999998</v>
      </c>
      <c r="F29" s="62" t="s">
        <v>214</v>
      </c>
      <c r="G29" s="62" t="s">
        <v>143</v>
      </c>
      <c r="H29" s="62">
        <v>283.33964994798964</v>
      </c>
      <c r="I29" s="62">
        <f t="shared" si="3"/>
        <v>1005.5469170969199</v>
      </c>
      <c r="J29" s="62">
        <v>0</v>
      </c>
      <c r="K29" s="62">
        <f t="shared" si="5"/>
        <v>1005.5469170969199</v>
      </c>
      <c r="L29" s="61">
        <v>463.54</v>
      </c>
      <c r="M29" s="62">
        <f t="shared" si="6"/>
        <v>1645.0617414000001</v>
      </c>
      <c r="N29" s="61">
        <v>0</v>
      </c>
      <c r="O29" s="62">
        <f t="shared" si="2"/>
        <v>1645.0617414000001</v>
      </c>
      <c r="P29" s="61">
        <f t="shared" si="7"/>
        <v>2650.6086584969198</v>
      </c>
      <c r="Q29" s="5"/>
      <c r="R29" s="5"/>
      <c r="S29" s="5"/>
      <c r="X29" s="11"/>
      <c r="Y29" s="11"/>
      <c r="Z29" s="10"/>
      <c r="AA29" s="10"/>
      <c r="AB29" s="10"/>
    </row>
    <row r="30" spans="1:28" s="9" customFormat="1" ht="20.149999999999999" customHeight="1">
      <c r="A30" s="39" t="s">
        <v>17</v>
      </c>
      <c r="B30" s="39" t="s">
        <v>169</v>
      </c>
      <c r="C30" s="39" t="s">
        <v>170</v>
      </c>
      <c r="D30" s="60">
        <v>8.0000000000000002E-3</v>
      </c>
      <c r="E30" s="61">
        <v>0</v>
      </c>
      <c r="F30" s="62" t="s">
        <v>214</v>
      </c>
      <c r="G30" s="62" t="s">
        <v>143</v>
      </c>
      <c r="H30" s="62">
        <v>283.33964994798964</v>
      </c>
      <c r="I30" s="62">
        <f t="shared" ref="I30" si="20">E30*H30</f>
        <v>0</v>
      </c>
      <c r="J30" s="62">
        <v>0</v>
      </c>
      <c r="K30" s="62">
        <f t="shared" ref="K30" si="21">IF($G30="n",I30,MIN(I30:J30))</f>
        <v>0</v>
      </c>
      <c r="L30" s="61">
        <v>463.54</v>
      </c>
      <c r="M30" s="62">
        <f t="shared" ref="M30" si="22">E30*L30</f>
        <v>0</v>
      </c>
      <c r="N30" s="61">
        <v>0</v>
      </c>
      <c r="O30" s="62">
        <f t="shared" si="2"/>
        <v>0</v>
      </c>
      <c r="P30" s="61">
        <f t="shared" ref="P30" si="23">K30+O30</f>
        <v>0</v>
      </c>
      <c r="Q30" s="5"/>
      <c r="R30" s="5"/>
      <c r="S30" s="5"/>
      <c r="X30" s="11"/>
      <c r="Y30" s="11"/>
      <c r="Z30" s="10"/>
      <c r="AA30" s="10"/>
      <c r="AB30" s="10"/>
    </row>
    <row r="31" spans="1:28" s="9" customFormat="1" ht="20.149999999999999" customHeight="1">
      <c r="A31" s="39" t="s">
        <v>17</v>
      </c>
      <c r="B31" s="39" t="s">
        <v>155</v>
      </c>
      <c r="C31" s="39" t="s">
        <v>156</v>
      </c>
      <c r="D31" s="60">
        <v>5.0000000000000001E-3</v>
      </c>
      <c r="E31" s="61">
        <v>0</v>
      </c>
      <c r="F31" s="62" t="s">
        <v>214</v>
      </c>
      <c r="G31" s="62" t="s">
        <v>143</v>
      </c>
      <c r="H31" s="62">
        <v>283.33964994798964</v>
      </c>
      <c r="I31" s="62">
        <f t="shared" ref="I31" si="24">E31*H31</f>
        <v>0</v>
      </c>
      <c r="J31" s="62">
        <v>0</v>
      </c>
      <c r="K31" s="62">
        <f t="shared" ref="K31" si="25">IF($G31="n",I31,MIN(I31:J31))</f>
        <v>0</v>
      </c>
      <c r="L31" s="61">
        <v>463.54</v>
      </c>
      <c r="M31" s="62">
        <f t="shared" ref="M31" si="26">E31*L31</f>
        <v>0</v>
      </c>
      <c r="N31" s="61">
        <v>0</v>
      </c>
      <c r="O31" s="62">
        <f t="shared" si="2"/>
        <v>0</v>
      </c>
      <c r="P31" s="61">
        <f t="shared" ref="P31" si="27">K31+O31</f>
        <v>0</v>
      </c>
      <c r="Q31" s="5"/>
      <c r="R31" s="5"/>
      <c r="S31" s="5"/>
      <c r="X31" s="11"/>
      <c r="Y31" s="11"/>
      <c r="Z31" s="10"/>
      <c r="AA31" s="10"/>
      <c r="AB31" s="10"/>
    </row>
    <row r="32" spans="1:28" s="9" customFormat="1" ht="20.149999999999999" customHeight="1">
      <c r="A32" s="39" t="s">
        <v>17</v>
      </c>
      <c r="B32" s="39" t="s">
        <v>64</v>
      </c>
      <c r="C32" s="39" t="s">
        <v>65</v>
      </c>
      <c r="D32" s="60">
        <v>0.01</v>
      </c>
      <c r="E32" s="61">
        <v>0</v>
      </c>
      <c r="F32" s="62" t="s">
        <v>214</v>
      </c>
      <c r="G32" s="62" t="s">
        <v>143</v>
      </c>
      <c r="H32" s="62">
        <v>283.33964994798964</v>
      </c>
      <c r="I32" s="62">
        <f t="shared" si="3"/>
        <v>0</v>
      </c>
      <c r="J32" s="62">
        <v>0</v>
      </c>
      <c r="K32" s="62">
        <f t="shared" si="5"/>
        <v>0</v>
      </c>
      <c r="L32" s="61">
        <v>463.54</v>
      </c>
      <c r="M32" s="62">
        <f t="shared" si="6"/>
        <v>0</v>
      </c>
      <c r="N32" s="61">
        <v>0</v>
      </c>
      <c r="O32" s="62">
        <f t="shared" si="2"/>
        <v>0</v>
      </c>
      <c r="P32" s="61">
        <f t="shared" si="7"/>
        <v>0</v>
      </c>
      <c r="Q32" s="5"/>
      <c r="R32" s="5"/>
      <c r="S32" s="5"/>
      <c r="X32" s="11"/>
      <c r="Y32" s="11"/>
      <c r="Z32" s="10"/>
      <c r="AA32" s="10"/>
      <c r="AB32" s="10"/>
    </row>
    <row r="33" spans="1:28" s="9" customFormat="1" ht="20.149999999999999" customHeight="1">
      <c r="A33" s="39" t="s">
        <v>17</v>
      </c>
      <c r="B33" s="39" t="s">
        <v>66</v>
      </c>
      <c r="C33" s="39" t="s">
        <v>67</v>
      </c>
      <c r="D33" s="60">
        <v>8.0000000000000002E-3</v>
      </c>
      <c r="E33" s="61">
        <v>0.77283000000000002</v>
      </c>
      <c r="F33" s="62" t="s">
        <v>214</v>
      </c>
      <c r="G33" s="62" t="s">
        <v>143</v>
      </c>
      <c r="H33" s="62">
        <v>283.33964994798964</v>
      </c>
      <c r="I33" s="62">
        <f t="shared" si="3"/>
        <v>218.97338166930484</v>
      </c>
      <c r="J33" s="62">
        <v>0</v>
      </c>
      <c r="K33" s="62">
        <f t="shared" si="5"/>
        <v>218.97338166930484</v>
      </c>
      <c r="L33" s="61">
        <v>463.54</v>
      </c>
      <c r="M33" s="62">
        <f t="shared" si="6"/>
        <v>358.23761820000004</v>
      </c>
      <c r="N33" s="61">
        <v>0</v>
      </c>
      <c r="O33" s="62">
        <f t="shared" si="2"/>
        <v>358.23761820000004</v>
      </c>
      <c r="P33" s="61">
        <f t="shared" si="7"/>
        <v>577.21099986930494</v>
      </c>
      <c r="Q33" s="5"/>
      <c r="R33" s="5"/>
      <c r="S33" s="5"/>
      <c r="X33" s="11"/>
      <c r="Y33" s="11"/>
      <c r="Z33" s="10"/>
      <c r="AA33" s="10"/>
      <c r="AB33" s="10"/>
    </row>
    <row r="34" spans="1:28" s="9" customFormat="1" ht="20.149999999999999" customHeight="1">
      <c r="A34" s="39" t="s">
        <v>17</v>
      </c>
      <c r="B34" s="39" t="s">
        <v>68</v>
      </c>
      <c r="C34" s="39" t="s">
        <v>69</v>
      </c>
      <c r="D34" s="60">
        <v>8.0000000000000002E-3</v>
      </c>
      <c r="E34" s="61">
        <v>0.83432000000000006</v>
      </c>
      <c r="F34" s="62" t="s">
        <v>214</v>
      </c>
      <c r="G34" s="62" t="s">
        <v>143</v>
      </c>
      <c r="H34" s="62">
        <v>283.33964994798964</v>
      </c>
      <c r="I34" s="62">
        <f t="shared" ref="I34" si="28">E34*H34</f>
        <v>236.39593674460673</v>
      </c>
      <c r="J34" s="62">
        <v>0</v>
      </c>
      <c r="K34" s="62">
        <f t="shared" ref="K34" si="29">IF($G34="n",I34,MIN(I34:J34))</f>
        <v>236.39593674460673</v>
      </c>
      <c r="L34" s="61">
        <v>463.54</v>
      </c>
      <c r="M34" s="62">
        <f t="shared" ref="M34" si="30">E34*L34</f>
        <v>386.74069280000003</v>
      </c>
      <c r="N34" s="61">
        <v>0</v>
      </c>
      <c r="O34" s="62">
        <f t="shared" si="2"/>
        <v>386.74069280000003</v>
      </c>
      <c r="P34" s="61">
        <f t="shared" ref="P34" si="31">K34+O34</f>
        <v>623.13662954460676</v>
      </c>
      <c r="Q34" s="5"/>
      <c r="R34" s="5"/>
      <c r="S34" s="5"/>
      <c r="X34" s="11"/>
      <c r="Y34" s="11"/>
      <c r="Z34" s="10"/>
      <c r="AA34" s="10"/>
      <c r="AB34" s="10"/>
    </row>
    <row r="35" spans="1:28" s="9" customFormat="1" ht="20.149999999999999" customHeight="1">
      <c r="A35" s="39" t="s">
        <v>17</v>
      </c>
      <c r="B35" s="39" t="s">
        <v>70</v>
      </c>
      <c r="C35" s="39" t="s">
        <v>71</v>
      </c>
      <c r="D35" s="60">
        <v>1.0999999999999999E-2</v>
      </c>
      <c r="E35" s="61">
        <v>0</v>
      </c>
      <c r="F35" s="62" t="s">
        <v>214</v>
      </c>
      <c r="G35" s="62" t="s">
        <v>143</v>
      </c>
      <c r="H35" s="62">
        <v>283.33964994798964</v>
      </c>
      <c r="I35" s="62">
        <f t="shared" si="3"/>
        <v>0</v>
      </c>
      <c r="J35" s="62">
        <v>0</v>
      </c>
      <c r="K35" s="62">
        <f t="shared" si="5"/>
        <v>0</v>
      </c>
      <c r="L35" s="61">
        <v>463.54</v>
      </c>
      <c r="M35" s="62">
        <f t="shared" si="6"/>
        <v>0</v>
      </c>
      <c r="N35" s="61">
        <v>0</v>
      </c>
      <c r="O35" s="62">
        <f t="shared" si="2"/>
        <v>0</v>
      </c>
      <c r="P35" s="61">
        <f t="shared" si="7"/>
        <v>0</v>
      </c>
      <c r="Q35" s="5"/>
      <c r="R35" s="5"/>
      <c r="S35" s="5"/>
      <c r="X35" s="11"/>
      <c r="Y35" s="11"/>
      <c r="Z35" s="10"/>
      <c r="AA35" s="10"/>
      <c r="AB35" s="10"/>
    </row>
    <row r="36" spans="1:28" s="9" customFormat="1" ht="20.149999999999999" customHeight="1">
      <c r="A36" s="39" t="s">
        <v>17</v>
      </c>
      <c r="B36" s="39" t="s">
        <v>72</v>
      </c>
      <c r="C36" s="39" t="s">
        <v>73</v>
      </c>
      <c r="D36" s="60">
        <v>1.9E-2</v>
      </c>
      <c r="E36" s="61">
        <v>2.1031200000000001</v>
      </c>
      <c r="F36" s="62" t="s">
        <v>214</v>
      </c>
      <c r="G36" s="62" t="s">
        <v>143</v>
      </c>
      <c r="H36" s="62">
        <v>283.33964994798964</v>
      </c>
      <c r="I36" s="62">
        <f t="shared" si="3"/>
        <v>595.89728459861601</v>
      </c>
      <c r="J36" s="62">
        <v>0</v>
      </c>
      <c r="K36" s="62">
        <f t="shared" si="5"/>
        <v>595.89728459861601</v>
      </c>
      <c r="L36" s="61">
        <v>463.54</v>
      </c>
      <c r="M36" s="62">
        <f t="shared" si="6"/>
        <v>974.88024480000013</v>
      </c>
      <c r="N36" s="61">
        <v>0</v>
      </c>
      <c r="O36" s="62">
        <f t="shared" si="2"/>
        <v>974.88024480000013</v>
      </c>
      <c r="P36" s="61">
        <f t="shared" si="7"/>
        <v>1570.777529398616</v>
      </c>
      <c r="Q36" s="5"/>
      <c r="R36" s="5"/>
      <c r="S36" s="5"/>
      <c r="X36" s="11"/>
      <c r="Y36" s="11"/>
      <c r="Z36" s="10"/>
      <c r="AA36" s="10"/>
      <c r="AB36" s="10"/>
    </row>
    <row r="37" spans="1:28" s="9" customFormat="1" ht="20.149999999999999" customHeight="1">
      <c r="A37" s="39" t="s">
        <v>17</v>
      </c>
      <c r="B37" s="39" t="s">
        <v>74</v>
      </c>
      <c r="C37" s="39" t="s">
        <v>75</v>
      </c>
      <c r="D37" s="60">
        <v>0.24</v>
      </c>
      <c r="E37" s="61">
        <v>0</v>
      </c>
      <c r="F37" s="62" t="s">
        <v>214</v>
      </c>
      <c r="G37" s="62" t="s">
        <v>143</v>
      </c>
      <c r="H37" s="62">
        <v>287.03422887320266</v>
      </c>
      <c r="I37" s="62">
        <f t="shared" si="3"/>
        <v>0</v>
      </c>
      <c r="J37" s="62">
        <v>0</v>
      </c>
      <c r="K37" s="62">
        <f t="shared" si="5"/>
        <v>0</v>
      </c>
      <c r="L37" s="61">
        <v>463.54</v>
      </c>
      <c r="M37" s="62">
        <f t="shared" si="6"/>
        <v>0</v>
      </c>
      <c r="N37" s="61">
        <v>0</v>
      </c>
      <c r="O37" s="62">
        <f t="shared" si="2"/>
        <v>0</v>
      </c>
      <c r="P37" s="61">
        <f t="shared" si="7"/>
        <v>0</v>
      </c>
      <c r="Q37" s="5"/>
      <c r="R37" s="5"/>
      <c r="S37" s="5"/>
      <c r="X37" s="11"/>
      <c r="Y37" s="11"/>
      <c r="Z37" s="10"/>
      <c r="AA37" s="10"/>
      <c r="AB37" s="10"/>
    </row>
    <row r="38" spans="1:28" s="9" customFormat="1" ht="20.149999999999999" customHeight="1">
      <c r="A38" s="39" t="s">
        <v>17</v>
      </c>
      <c r="B38" s="39" t="s">
        <v>76</v>
      </c>
      <c r="C38" s="39" t="s">
        <v>77</v>
      </c>
      <c r="D38" s="60">
        <v>5.1999999999999998E-2</v>
      </c>
      <c r="E38" s="61">
        <v>0</v>
      </c>
      <c r="F38" s="62" t="s">
        <v>214</v>
      </c>
      <c r="G38" s="62" t="s">
        <v>143</v>
      </c>
      <c r="H38" s="62">
        <v>283.33964994798964</v>
      </c>
      <c r="I38" s="62">
        <f t="shared" si="3"/>
        <v>0</v>
      </c>
      <c r="J38" s="62">
        <v>0</v>
      </c>
      <c r="K38" s="62">
        <f t="shared" si="5"/>
        <v>0</v>
      </c>
      <c r="L38" s="61">
        <v>463.54</v>
      </c>
      <c r="M38" s="62">
        <f t="shared" si="6"/>
        <v>0</v>
      </c>
      <c r="N38" s="61">
        <v>0</v>
      </c>
      <c r="O38" s="62">
        <f t="shared" si="2"/>
        <v>0</v>
      </c>
      <c r="P38" s="61">
        <f t="shared" si="7"/>
        <v>0</v>
      </c>
      <c r="Q38" s="5"/>
      <c r="R38" s="5"/>
      <c r="S38" s="5"/>
      <c r="X38" s="11"/>
      <c r="Y38" s="11"/>
      <c r="Z38" s="10"/>
      <c r="AA38" s="10"/>
      <c r="AB38" s="10"/>
    </row>
    <row r="39" spans="1:28" s="9" customFormat="1" ht="20.149999999999999" customHeight="1">
      <c r="A39" s="39" t="s">
        <v>17</v>
      </c>
      <c r="B39" s="39" t="s">
        <v>78</v>
      </c>
      <c r="C39" s="39" t="s">
        <v>79</v>
      </c>
      <c r="D39" s="60">
        <v>1.9E-2</v>
      </c>
      <c r="E39" s="61">
        <v>0</v>
      </c>
      <c r="F39" s="62" t="s">
        <v>214</v>
      </c>
      <c r="G39" s="62" t="s">
        <v>143</v>
      </c>
      <c r="H39" s="62">
        <v>283.33964994798964</v>
      </c>
      <c r="I39" s="62">
        <f t="shared" si="3"/>
        <v>0</v>
      </c>
      <c r="J39" s="62">
        <v>0</v>
      </c>
      <c r="K39" s="62">
        <f t="shared" si="5"/>
        <v>0</v>
      </c>
      <c r="L39" s="61">
        <v>463.54</v>
      </c>
      <c r="M39" s="62">
        <f t="shared" si="6"/>
        <v>0</v>
      </c>
      <c r="N39" s="61">
        <v>0</v>
      </c>
      <c r="O39" s="62">
        <f t="shared" si="2"/>
        <v>0</v>
      </c>
      <c r="P39" s="61">
        <f t="shared" si="7"/>
        <v>0</v>
      </c>
      <c r="Q39" s="5"/>
      <c r="R39" s="5"/>
      <c r="S39" s="5"/>
      <c r="X39" s="11"/>
      <c r="Y39" s="11"/>
      <c r="Z39" s="10"/>
      <c r="AA39" s="10"/>
      <c r="AB39" s="10"/>
    </row>
    <row r="40" spans="1:28" s="9" customFormat="1" ht="20.149999999999999" customHeight="1">
      <c r="A40" s="39" t="s">
        <v>17</v>
      </c>
      <c r="B40" s="39" t="s">
        <v>80</v>
      </c>
      <c r="C40" s="39" t="s">
        <v>81</v>
      </c>
      <c r="D40" s="60">
        <v>8.0000000000000002E-3</v>
      </c>
      <c r="E40" s="61">
        <v>0</v>
      </c>
      <c r="F40" s="62" t="s">
        <v>214</v>
      </c>
      <c r="G40" s="62" t="s">
        <v>143</v>
      </c>
      <c r="H40" s="62">
        <v>283.33964994798964</v>
      </c>
      <c r="I40" s="62">
        <f t="shared" si="3"/>
        <v>0</v>
      </c>
      <c r="J40" s="62">
        <v>0</v>
      </c>
      <c r="K40" s="62">
        <f t="shared" si="5"/>
        <v>0</v>
      </c>
      <c r="L40" s="61">
        <v>463.54</v>
      </c>
      <c r="M40" s="62">
        <f t="shared" si="6"/>
        <v>0</v>
      </c>
      <c r="N40" s="61">
        <v>0</v>
      </c>
      <c r="O40" s="62">
        <f t="shared" si="2"/>
        <v>0</v>
      </c>
      <c r="P40" s="61">
        <f t="shared" si="7"/>
        <v>0</v>
      </c>
      <c r="Q40" s="5"/>
      <c r="R40" s="5"/>
      <c r="S40" s="5"/>
      <c r="X40" s="11"/>
      <c r="Y40" s="11"/>
      <c r="Z40" s="10"/>
      <c r="AA40" s="10"/>
      <c r="AB40" s="10"/>
    </row>
    <row r="41" spans="1:28" s="9" customFormat="1" ht="20.149999999999999" customHeight="1">
      <c r="A41" s="39" t="s">
        <v>17</v>
      </c>
      <c r="B41" s="39" t="s">
        <v>150</v>
      </c>
      <c r="C41" s="39" t="s">
        <v>151</v>
      </c>
      <c r="D41" s="60">
        <v>1.9E-2</v>
      </c>
      <c r="E41" s="61">
        <v>0</v>
      </c>
      <c r="F41" s="62" t="s">
        <v>214</v>
      </c>
      <c r="G41" s="62" t="s">
        <v>143</v>
      </c>
      <c r="H41" s="62">
        <v>283.33964994798964</v>
      </c>
      <c r="I41" s="62">
        <f t="shared" ref="I41" si="32">E41*H41</f>
        <v>0</v>
      </c>
      <c r="J41" s="62">
        <v>0</v>
      </c>
      <c r="K41" s="62">
        <f>I41</f>
        <v>0</v>
      </c>
      <c r="L41" s="61">
        <v>463.54</v>
      </c>
      <c r="M41" s="62">
        <f t="shared" ref="M41" si="33">E41*L41</f>
        <v>0</v>
      </c>
      <c r="N41" s="61">
        <v>0</v>
      </c>
      <c r="O41" s="62">
        <f t="shared" si="2"/>
        <v>0</v>
      </c>
      <c r="P41" s="61">
        <f t="shared" ref="P41" si="34">K41+O41</f>
        <v>0</v>
      </c>
      <c r="Q41" s="5"/>
      <c r="R41" s="5"/>
      <c r="S41" s="5"/>
      <c r="X41" s="11"/>
      <c r="Y41" s="11"/>
      <c r="Z41" s="10"/>
      <c r="AA41" s="10"/>
      <c r="AB41" s="10"/>
    </row>
    <row r="42" spans="1:28" s="9" customFormat="1" ht="20.149999999999999" customHeight="1">
      <c r="A42" s="39" t="s">
        <v>17</v>
      </c>
      <c r="B42" s="39" t="s">
        <v>144</v>
      </c>
      <c r="C42" s="39" t="s">
        <v>145</v>
      </c>
      <c r="D42" s="60">
        <v>5.0999999999999997E-2</v>
      </c>
      <c r="E42" s="61">
        <v>0</v>
      </c>
      <c r="F42" s="62" t="s">
        <v>214</v>
      </c>
      <c r="G42" s="62" t="s">
        <v>143</v>
      </c>
      <c r="H42" s="62">
        <v>283.33964994798964</v>
      </c>
      <c r="I42" s="62">
        <f t="shared" ref="I42" si="35">E42*H42</f>
        <v>0</v>
      </c>
      <c r="J42" s="62">
        <v>0</v>
      </c>
      <c r="K42" s="62">
        <f>I42</f>
        <v>0</v>
      </c>
      <c r="L42" s="61">
        <v>463.54</v>
      </c>
      <c r="M42" s="62">
        <f t="shared" ref="M42" si="36">E42*L42</f>
        <v>0</v>
      </c>
      <c r="N42" s="61">
        <v>0</v>
      </c>
      <c r="O42" s="62">
        <f t="shared" si="2"/>
        <v>0</v>
      </c>
      <c r="P42" s="61">
        <f t="shared" ref="P42" si="37">K42+O42</f>
        <v>0</v>
      </c>
      <c r="Q42" s="5"/>
      <c r="R42" s="5"/>
      <c r="S42" s="5"/>
      <c r="X42" s="11"/>
      <c r="Y42" s="11"/>
      <c r="Z42" s="10"/>
      <c r="AA42" s="10"/>
      <c r="AB42" s="10"/>
    </row>
    <row r="43" spans="1:28" s="9" customFormat="1" ht="20.149999999999999" customHeight="1">
      <c r="A43" s="39" t="s">
        <v>17</v>
      </c>
      <c r="B43" s="39" t="s">
        <v>94</v>
      </c>
      <c r="C43" s="39" t="s">
        <v>95</v>
      </c>
      <c r="D43" s="60">
        <v>8.0000000000000002E-3</v>
      </c>
      <c r="E43" s="61">
        <v>0</v>
      </c>
      <c r="F43" s="62" t="s">
        <v>214</v>
      </c>
      <c r="G43" s="62" t="s">
        <v>143</v>
      </c>
      <c r="H43" s="62">
        <v>283.33964994798964</v>
      </c>
      <c r="I43" s="62">
        <f t="shared" ref="I43:I61" si="38">E43*H43</f>
        <v>0</v>
      </c>
      <c r="J43" s="62">
        <v>0</v>
      </c>
      <c r="K43" s="62">
        <f t="shared" si="5"/>
        <v>0</v>
      </c>
      <c r="L43" s="61">
        <v>463.54</v>
      </c>
      <c r="M43" s="62">
        <f t="shared" si="6"/>
        <v>0</v>
      </c>
      <c r="N43" s="61">
        <v>0</v>
      </c>
      <c r="O43" s="62">
        <f t="shared" ref="O43:O61" si="39">IF(G43="N",M43,IF(D43&gt;=18,N43,MIN(M43,N43)))</f>
        <v>0</v>
      </c>
      <c r="P43" s="61">
        <f t="shared" si="7"/>
        <v>0</v>
      </c>
      <c r="Q43" s="5"/>
      <c r="R43" s="5"/>
      <c r="S43" s="5"/>
      <c r="X43" s="11"/>
      <c r="Y43" s="11"/>
      <c r="Z43" s="10"/>
      <c r="AA43" s="10"/>
      <c r="AB43" s="10"/>
    </row>
    <row r="44" spans="1:28" s="9" customFormat="1" ht="20.149999999999999" customHeight="1">
      <c r="A44" s="39" t="s">
        <v>17</v>
      </c>
      <c r="B44" s="39" t="s">
        <v>98</v>
      </c>
      <c r="C44" s="39" t="s">
        <v>99</v>
      </c>
      <c r="D44" s="60">
        <v>0.122</v>
      </c>
      <c r="E44" s="61">
        <v>9.8243399999999994</v>
      </c>
      <c r="F44" s="62" t="s">
        <v>214</v>
      </c>
      <c r="G44" s="62" t="s">
        <v>143</v>
      </c>
      <c r="H44" s="62">
        <v>287.03422887320266</v>
      </c>
      <c r="I44" s="62">
        <f t="shared" si="38"/>
        <v>2819.9218560881595</v>
      </c>
      <c r="J44" s="62">
        <v>0</v>
      </c>
      <c r="K44" s="62">
        <f t="shared" si="5"/>
        <v>2819.9218560881595</v>
      </c>
      <c r="L44" s="61">
        <v>463.54</v>
      </c>
      <c r="M44" s="62">
        <f t="shared" si="6"/>
        <v>4553.9745635999998</v>
      </c>
      <c r="N44" s="61">
        <v>0</v>
      </c>
      <c r="O44" s="62">
        <f t="shared" si="39"/>
        <v>4553.9745635999998</v>
      </c>
      <c r="P44" s="61">
        <f t="shared" si="7"/>
        <v>7373.8964196881589</v>
      </c>
      <c r="Q44" s="5"/>
      <c r="R44" s="5"/>
      <c r="S44" s="5"/>
      <c r="X44" s="11"/>
      <c r="Y44" s="11"/>
      <c r="Z44" s="10"/>
      <c r="AA44" s="10"/>
      <c r="AB44" s="10"/>
    </row>
    <row r="45" spans="1:28" s="9" customFormat="1" ht="20.149999999999999" customHeight="1">
      <c r="A45" s="39" t="s">
        <v>17</v>
      </c>
      <c r="B45" s="39" t="s">
        <v>100</v>
      </c>
      <c r="C45" s="39" t="s">
        <v>101</v>
      </c>
      <c r="D45" s="60">
        <v>0.17599999999999999</v>
      </c>
      <c r="E45" s="61">
        <v>26.068709999999999</v>
      </c>
      <c r="F45" s="62" t="s">
        <v>214</v>
      </c>
      <c r="G45" s="62" t="s">
        <v>143</v>
      </c>
      <c r="H45" s="62">
        <v>287.03422887320266</v>
      </c>
      <c r="I45" s="62">
        <f t="shared" si="38"/>
        <v>7482.6120725691471</v>
      </c>
      <c r="J45" s="62">
        <v>0</v>
      </c>
      <c r="K45" s="62">
        <f t="shared" si="5"/>
        <v>7482.6120725691471</v>
      </c>
      <c r="L45" s="61">
        <v>463.54</v>
      </c>
      <c r="M45" s="62">
        <f t="shared" si="6"/>
        <v>12083.8898334</v>
      </c>
      <c r="N45" s="61">
        <v>0</v>
      </c>
      <c r="O45" s="62">
        <f t="shared" si="39"/>
        <v>12083.8898334</v>
      </c>
      <c r="P45" s="61">
        <f t="shared" si="7"/>
        <v>19566.501905969148</v>
      </c>
      <c r="Q45" s="5"/>
      <c r="R45" s="5"/>
      <c r="S45" s="5"/>
      <c r="X45" s="11"/>
      <c r="Y45" s="11"/>
      <c r="Z45" s="10"/>
      <c r="AA45" s="10"/>
      <c r="AB45" s="10"/>
    </row>
    <row r="46" spans="1:28" s="9" customFormat="1" ht="20.149999999999999" customHeight="1">
      <c r="A46" s="39" t="s">
        <v>17</v>
      </c>
      <c r="B46" s="39" t="s">
        <v>102</v>
      </c>
      <c r="C46" s="39" t="s">
        <v>103</v>
      </c>
      <c r="D46" s="60">
        <v>1.4E-2</v>
      </c>
      <c r="E46" s="61">
        <v>0</v>
      </c>
      <c r="F46" s="62" t="s">
        <v>214</v>
      </c>
      <c r="G46" s="62" t="s">
        <v>143</v>
      </c>
      <c r="H46" s="62">
        <v>283.33964994798964</v>
      </c>
      <c r="I46" s="62">
        <f t="shared" si="38"/>
        <v>0</v>
      </c>
      <c r="J46" s="62">
        <v>0</v>
      </c>
      <c r="K46" s="62">
        <f t="shared" si="5"/>
        <v>0</v>
      </c>
      <c r="L46" s="61">
        <v>463.54</v>
      </c>
      <c r="M46" s="62">
        <f t="shared" si="6"/>
        <v>0</v>
      </c>
      <c r="N46" s="61">
        <v>0</v>
      </c>
      <c r="O46" s="62">
        <f t="shared" si="39"/>
        <v>0</v>
      </c>
      <c r="P46" s="61">
        <f t="shared" si="7"/>
        <v>0</v>
      </c>
      <c r="Q46" s="5"/>
      <c r="R46" s="5"/>
      <c r="S46" s="5"/>
      <c r="X46" s="11"/>
      <c r="Y46" s="11"/>
      <c r="Z46" s="10"/>
      <c r="AA46" s="10"/>
      <c r="AB46" s="10"/>
    </row>
    <row r="47" spans="1:28" s="9" customFormat="1" ht="20.149999999999999" customHeight="1">
      <c r="A47" s="39" t="s">
        <v>17</v>
      </c>
      <c r="B47" s="39" t="s">
        <v>104</v>
      </c>
      <c r="C47" s="39" t="s">
        <v>105</v>
      </c>
      <c r="D47" s="60">
        <v>4.8000000000000001E-2</v>
      </c>
      <c r="E47" s="61">
        <v>0</v>
      </c>
      <c r="F47" s="62" t="s">
        <v>214</v>
      </c>
      <c r="G47" s="62" t="s">
        <v>143</v>
      </c>
      <c r="H47" s="62">
        <v>283.33964994798964</v>
      </c>
      <c r="I47" s="62">
        <f t="shared" si="38"/>
        <v>0</v>
      </c>
      <c r="J47" s="62">
        <v>0</v>
      </c>
      <c r="K47" s="62">
        <f t="shared" si="5"/>
        <v>0</v>
      </c>
      <c r="L47" s="61">
        <v>463.54</v>
      </c>
      <c r="M47" s="62">
        <f t="shared" si="6"/>
        <v>0</v>
      </c>
      <c r="N47" s="61">
        <v>0</v>
      </c>
      <c r="O47" s="62">
        <f t="shared" si="39"/>
        <v>0</v>
      </c>
      <c r="P47" s="61">
        <f t="shared" si="7"/>
        <v>0</v>
      </c>
      <c r="Q47" s="5"/>
      <c r="R47" s="5"/>
      <c r="S47" s="5"/>
      <c r="X47" s="11"/>
      <c r="Y47" s="11"/>
      <c r="Z47" s="10"/>
      <c r="AA47" s="10"/>
      <c r="AB47" s="10"/>
    </row>
    <row r="48" spans="1:28" s="9" customFormat="1" ht="20.149999999999999" customHeight="1">
      <c r="A48" s="39" t="s">
        <v>17</v>
      </c>
      <c r="B48" s="39" t="s">
        <v>106</v>
      </c>
      <c r="C48" s="39" t="s">
        <v>107</v>
      </c>
      <c r="D48" s="60">
        <v>4.8000000000000001E-2</v>
      </c>
      <c r="E48" s="61">
        <v>0.85672999999999999</v>
      </c>
      <c r="F48" s="62" t="s">
        <v>214</v>
      </c>
      <c r="G48" s="62" t="s">
        <v>143</v>
      </c>
      <c r="H48" s="62">
        <v>283.33964994798964</v>
      </c>
      <c r="I48" s="62">
        <f t="shared" si="38"/>
        <v>242.74557829994117</v>
      </c>
      <c r="J48" s="62">
        <v>0</v>
      </c>
      <c r="K48" s="62">
        <f t="shared" si="5"/>
        <v>242.74557829994117</v>
      </c>
      <c r="L48" s="61">
        <v>463.54</v>
      </c>
      <c r="M48" s="62">
        <f t="shared" si="6"/>
        <v>397.12862419999999</v>
      </c>
      <c r="N48" s="61">
        <v>0</v>
      </c>
      <c r="O48" s="62">
        <f t="shared" si="39"/>
        <v>397.12862419999999</v>
      </c>
      <c r="P48" s="61">
        <f t="shared" si="7"/>
        <v>639.87420249994113</v>
      </c>
      <c r="Q48" s="5"/>
      <c r="R48" s="5"/>
      <c r="S48" s="5"/>
      <c r="X48" s="11"/>
      <c r="Y48" s="11"/>
      <c r="Z48" s="10"/>
      <c r="AA48" s="10"/>
      <c r="AB48" s="10"/>
    </row>
    <row r="49" spans="1:28" s="9" customFormat="1" ht="20.149999999999999" customHeight="1">
      <c r="A49" s="39" t="s">
        <v>17</v>
      </c>
      <c r="B49" s="39" t="s">
        <v>148</v>
      </c>
      <c r="C49" s="39" t="s">
        <v>149</v>
      </c>
      <c r="D49" s="60">
        <v>4.8000000000000001E-2</v>
      </c>
      <c r="E49" s="61">
        <v>0.45427000000000001</v>
      </c>
      <c r="F49" s="62" t="s">
        <v>214</v>
      </c>
      <c r="G49" s="62" t="s">
        <v>143</v>
      </c>
      <c r="H49" s="62">
        <v>283.33964994798964</v>
      </c>
      <c r="I49" s="62">
        <f t="shared" ref="I49" si="40">E49*H49</f>
        <v>128.71270278187325</v>
      </c>
      <c r="J49" s="62">
        <v>0</v>
      </c>
      <c r="K49" s="62">
        <f t="shared" ref="K49" si="41">IF($G49="n",I49,MIN(I49:J49))</f>
        <v>128.71270278187325</v>
      </c>
      <c r="L49" s="61">
        <v>463.54</v>
      </c>
      <c r="M49" s="62">
        <f t="shared" ref="M49" si="42">E49*L49</f>
        <v>210.57231580000001</v>
      </c>
      <c r="N49" s="61">
        <v>0</v>
      </c>
      <c r="O49" s="62">
        <f t="shared" si="39"/>
        <v>210.57231580000001</v>
      </c>
      <c r="P49" s="61">
        <f t="shared" ref="P49" si="43">K49+O49</f>
        <v>339.28501858187326</v>
      </c>
      <c r="Q49" s="5"/>
      <c r="R49" s="5"/>
      <c r="S49" s="5"/>
      <c r="X49" s="11"/>
      <c r="Y49" s="11"/>
      <c r="Z49" s="10"/>
      <c r="AA49" s="10"/>
      <c r="AB49" s="10"/>
    </row>
    <row r="50" spans="1:28" s="9" customFormat="1" ht="20.149999999999999" customHeight="1">
      <c r="A50" s="39" t="s">
        <v>17</v>
      </c>
      <c r="B50" s="39" t="s">
        <v>108</v>
      </c>
      <c r="C50" s="39" t="s">
        <v>109</v>
      </c>
      <c r="D50" s="60">
        <v>4.8000000000000001E-2</v>
      </c>
      <c r="E50" s="61">
        <v>0</v>
      </c>
      <c r="F50" s="62" t="s">
        <v>214</v>
      </c>
      <c r="G50" s="62" t="s">
        <v>143</v>
      </c>
      <c r="H50" s="62">
        <v>283.33964994798964</v>
      </c>
      <c r="I50" s="62">
        <f t="shared" si="38"/>
        <v>0</v>
      </c>
      <c r="J50" s="62">
        <v>0</v>
      </c>
      <c r="K50" s="62">
        <f t="shared" si="5"/>
        <v>0</v>
      </c>
      <c r="L50" s="61">
        <v>463.54</v>
      </c>
      <c r="M50" s="62">
        <f t="shared" si="6"/>
        <v>0</v>
      </c>
      <c r="N50" s="61">
        <v>0</v>
      </c>
      <c r="O50" s="62">
        <f t="shared" si="39"/>
        <v>0</v>
      </c>
      <c r="P50" s="61">
        <f t="shared" si="7"/>
        <v>0</v>
      </c>
      <c r="Q50" s="5"/>
      <c r="R50" s="5"/>
      <c r="S50" s="5"/>
      <c r="X50" s="11"/>
      <c r="Y50" s="11"/>
      <c r="Z50" s="10"/>
      <c r="AA50" s="10"/>
      <c r="AB50" s="10"/>
    </row>
    <row r="51" spans="1:28" s="9" customFormat="1" ht="20.149999999999999" customHeight="1">
      <c r="A51" s="39" t="s">
        <v>17</v>
      </c>
      <c r="B51" s="39" t="s">
        <v>110</v>
      </c>
      <c r="C51" s="39" t="s">
        <v>111</v>
      </c>
      <c r="D51" s="60">
        <v>4.8000000000000001E-2</v>
      </c>
      <c r="E51" s="61">
        <v>1.01275</v>
      </c>
      <c r="F51" s="62" t="s">
        <v>214</v>
      </c>
      <c r="G51" s="62" t="s">
        <v>143</v>
      </c>
      <c r="H51" s="62">
        <v>283.33964994798964</v>
      </c>
      <c r="I51" s="62">
        <f t="shared" si="38"/>
        <v>286.95223048482654</v>
      </c>
      <c r="J51" s="62">
        <v>0</v>
      </c>
      <c r="K51" s="62">
        <f t="shared" si="5"/>
        <v>286.95223048482654</v>
      </c>
      <c r="L51" s="61">
        <v>463.54</v>
      </c>
      <c r="M51" s="62">
        <f t="shared" si="6"/>
        <v>469.45013500000005</v>
      </c>
      <c r="N51" s="61">
        <v>0</v>
      </c>
      <c r="O51" s="62">
        <f t="shared" si="39"/>
        <v>469.45013500000005</v>
      </c>
      <c r="P51" s="61">
        <f t="shared" si="7"/>
        <v>756.40236548482653</v>
      </c>
      <c r="Q51" s="5"/>
      <c r="R51" s="5"/>
      <c r="S51" s="5"/>
      <c r="X51" s="11"/>
      <c r="Y51" s="11"/>
      <c r="Z51" s="10"/>
      <c r="AA51" s="10"/>
      <c r="AB51" s="10"/>
    </row>
    <row r="52" spans="1:28" s="9" customFormat="1" ht="20.149999999999999" customHeight="1">
      <c r="A52" s="39" t="s">
        <v>17</v>
      </c>
      <c r="B52" s="39" t="s">
        <v>112</v>
      </c>
      <c r="C52" s="39" t="s">
        <v>113</v>
      </c>
      <c r="D52" s="60">
        <v>8.0000000000000002E-3</v>
      </c>
      <c r="E52" s="61">
        <v>1.00119</v>
      </c>
      <c r="F52" s="62" t="s">
        <v>214</v>
      </c>
      <c r="G52" s="62" t="s">
        <v>143</v>
      </c>
      <c r="H52" s="62">
        <v>283.33964994798964</v>
      </c>
      <c r="I52" s="62">
        <f t="shared" si="38"/>
        <v>283.67682413142774</v>
      </c>
      <c r="J52" s="62">
        <v>0</v>
      </c>
      <c r="K52" s="62">
        <f t="shared" si="5"/>
        <v>283.67682413142774</v>
      </c>
      <c r="L52" s="61">
        <v>463.54</v>
      </c>
      <c r="M52" s="62">
        <f t="shared" si="6"/>
        <v>464.09161260000002</v>
      </c>
      <c r="N52" s="61">
        <v>0</v>
      </c>
      <c r="O52" s="62">
        <f t="shared" si="39"/>
        <v>464.09161260000002</v>
      </c>
      <c r="P52" s="61">
        <f t="shared" si="7"/>
        <v>747.76843673142776</v>
      </c>
      <c r="Q52" s="5"/>
      <c r="R52" s="5"/>
      <c r="S52" s="5"/>
      <c r="X52" s="11"/>
      <c r="Y52" s="11"/>
      <c r="Z52" s="10"/>
      <c r="AA52" s="10"/>
      <c r="AB52" s="10"/>
    </row>
    <row r="53" spans="1:28" s="9" customFormat="1" ht="20.149999999999999" customHeight="1">
      <c r="A53" s="39" t="s">
        <v>17</v>
      </c>
      <c r="B53" s="39" t="s">
        <v>114</v>
      </c>
      <c r="C53" s="39" t="s">
        <v>115</v>
      </c>
      <c r="D53" s="60">
        <v>9.6000000000000002E-2</v>
      </c>
      <c r="E53" s="61">
        <v>12.201750000000001</v>
      </c>
      <c r="F53" s="62" t="s">
        <v>214</v>
      </c>
      <c r="G53" s="62" t="s">
        <v>143</v>
      </c>
      <c r="H53" s="62">
        <v>283.33964994798964</v>
      </c>
      <c r="I53" s="62">
        <f t="shared" si="38"/>
        <v>3457.2395737528827</v>
      </c>
      <c r="J53" s="62">
        <v>0</v>
      </c>
      <c r="K53" s="62">
        <f t="shared" si="5"/>
        <v>3457.2395737528827</v>
      </c>
      <c r="L53" s="61">
        <v>463.54</v>
      </c>
      <c r="M53" s="62">
        <f t="shared" si="6"/>
        <v>5655.9991950000003</v>
      </c>
      <c r="N53" s="61">
        <v>0</v>
      </c>
      <c r="O53" s="62">
        <f t="shared" si="39"/>
        <v>5655.9991950000003</v>
      </c>
      <c r="P53" s="61">
        <f t="shared" si="7"/>
        <v>9113.2387687528826</v>
      </c>
      <c r="Q53" s="5"/>
      <c r="R53" s="5"/>
      <c r="S53" s="5"/>
      <c r="X53" s="11"/>
      <c r="Y53" s="11"/>
      <c r="Z53" s="10"/>
      <c r="AA53" s="10"/>
      <c r="AB53" s="10"/>
    </row>
    <row r="54" spans="1:28" s="9" customFormat="1" ht="20.149999999999999" customHeight="1">
      <c r="A54" s="39" t="s">
        <v>17</v>
      </c>
      <c r="B54" s="39" t="s">
        <v>116</v>
      </c>
      <c r="C54" s="39" t="s">
        <v>117</v>
      </c>
      <c r="D54" s="60">
        <v>1.9E-2</v>
      </c>
      <c r="E54" s="61">
        <v>0</v>
      </c>
      <c r="F54" s="62" t="s">
        <v>214</v>
      </c>
      <c r="G54" s="62" t="s">
        <v>143</v>
      </c>
      <c r="H54" s="62">
        <v>283.33964994798964</v>
      </c>
      <c r="I54" s="62">
        <f t="shared" si="38"/>
        <v>0</v>
      </c>
      <c r="J54" s="62">
        <v>0</v>
      </c>
      <c r="K54" s="62">
        <f t="shared" si="5"/>
        <v>0</v>
      </c>
      <c r="L54" s="61">
        <v>463.54</v>
      </c>
      <c r="M54" s="62">
        <f t="shared" si="6"/>
        <v>0</v>
      </c>
      <c r="N54" s="61">
        <v>0</v>
      </c>
      <c r="O54" s="62">
        <f t="shared" si="39"/>
        <v>0</v>
      </c>
      <c r="P54" s="61">
        <f t="shared" si="7"/>
        <v>0</v>
      </c>
      <c r="Q54" s="5"/>
      <c r="R54" s="5"/>
      <c r="S54" s="5"/>
      <c r="X54" s="11"/>
      <c r="Y54" s="11"/>
      <c r="Z54" s="10"/>
      <c r="AA54" s="10"/>
      <c r="AB54" s="10"/>
    </row>
    <row r="55" spans="1:28" s="9" customFormat="1" ht="20.149999999999999" customHeight="1">
      <c r="A55" s="39" t="s">
        <v>17</v>
      </c>
      <c r="B55" s="39" t="s">
        <v>120</v>
      </c>
      <c r="C55" s="39" t="s">
        <v>121</v>
      </c>
      <c r="D55" s="60">
        <v>4.8000000000000001E-2</v>
      </c>
      <c r="E55" s="61">
        <v>6.9930000000000006E-2</v>
      </c>
      <c r="F55" s="62" t="s">
        <v>214</v>
      </c>
      <c r="G55" s="62" t="s">
        <v>143</v>
      </c>
      <c r="H55" s="62">
        <v>283.33964994798964</v>
      </c>
      <c r="I55" s="62">
        <f t="shared" si="38"/>
        <v>19.813941720862918</v>
      </c>
      <c r="J55" s="62">
        <v>0</v>
      </c>
      <c r="K55" s="62">
        <f t="shared" si="5"/>
        <v>19.813941720862918</v>
      </c>
      <c r="L55" s="61">
        <v>463.54</v>
      </c>
      <c r="M55" s="62">
        <f t="shared" si="6"/>
        <v>32.415352200000001</v>
      </c>
      <c r="N55" s="61">
        <v>0</v>
      </c>
      <c r="O55" s="62">
        <f t="shared" si="39"/>
        <v>32.415352200000001</v>
      </c>
      <c r="P55" s="61">
        <f t="shared" si="7"/>
        <v>52.229293920862915</v>
      </c>
      <c r="Q55" s="5"/>
      <c r="R55" s="5"/>
      <c r="S55" s="5"/>
      <c r="X55" s="11"/>
      <c r="Y55" s="11"/>
      <c r="Z55" s="10"/>
      <c r="AA55" s="10"/>
      <c r="AB55" s="10"/>
    </row>
    <row r="56" spans="1:28" s="9" customFormat="1" ht="20.149999999999999" customHeight="1">
      <c r="A56" s="39" t="s">
        <v>17</v>
      </c>
      <c r="B56" s="39" t="s">
        <v>122</v>
      </c>
      <c r="C56" s="39" t="s">
        <v>123</v>
      </c>
      <c r="D56" s="60">
        <v>1.9E-2</v>
      </c>
      <c r="E56" s="61">
        <v>0.55292999999999992</v>
      </c>
      <c r="F56" s="62" t="s">
        <v>214</v>
      </c>
      <c r="G56" s="62" t="s">
        <v>143</v>
      </c>
      <c r="H56" s="62">
        <v>283.33964994798964</v>
      </c>
      <c r="I56" s="62">
        <f t="shared" si="38"/>
        <v>156.66699264574189</v>
      </c>
      <c r="J56" s="62">
        <v>0</v>
      </c>
      <c r="K56" s="62">
        <f t="shared" si="5"/>
        <v>156.66699264574189</v>
      </c>
      <c r="L56" s="61">
        <v>463.54</v>
      </c>
      <c r="M56" s="62">
        <f t="shared" si="6"/>
        <v>256.30517219999996</v>
      </c>
      <c r="N56" s="61">
        <v>0</v>
      </c>
      <c r="O56" s="62">
        <f t="shared" si="39"/>
        <v>256.30517219999996</v>
      </c>
      <c r="P56" s="61">
        <f t="shared" si="7"/>
        <v>412.97216484574187</v>
      </c>
      <c r="Q56" s="5"/>
      <c r="R56" s="5"/>
      <c r="S56" s="5"/>
      <c r="X56" s="11"/>
      <c r="Y56" s="11"/>
      <c r="Z56" s="10"/>
      <c r="AA56" s="10"/>
      <c r="AB56" s="10"/>
    </row>
    <row r="57" spans="1:28" s="9" customFormat="1" ht="20.149999999999999" customHeight="1">
      <c r="A57" s="39" t="s">
        <v>17</v>
      </c>
      <c r="B57" s="39" t="s">
        <v>124</v>
      </c>
      <c r="C57" s="39" t="s">
        <v>125</v>
      </c>
      <c r="D57" s="60">
        <v>1.2999999999999999E-2</v>
      </c>
      <c r="E57" s="61">
        <v>0</v>
      </c>
      <c r="F57" s="62" t="s">
        <v>214</v>
      </c>
      <c r="G57" s="62" t="s">
        <v>143</v>
      </c>
      <c r="H57" s="62">
        <v>283.33964994798964</v>
      </c>
      <c r="I57" s="62">
        <f t="shared" si="38"/>
        <v>0</v>
      </c>
      <c r="J57" s="62">
        <v>0</v>
      </c>
      <c r="K57" s="62">
        <f t="shared" si="5"/>
        <v>0</v>
      </c>
      <c r="L57" s="61">
        <v>463.54</v>
      </c>
      <c r="M57" s="62">
        <f t="shared" si="6"/>
        <v>0</v>
      </c>
      <c r="N57" s="61">
        <v>0</v>
      </c>
      <c r="O57" s="62">
        <f t="shared" si="39"/>
        <v>0</v>
      </c>
      <c r="P57" s="61">
        <f t="shared" si="7"/>
        <v>0</v>
      </c>
      <c r="Q57" s="5"/>
      <c r="R57" s="5"/>
      <c r="S57" s="5"/>
      <c r="X57" s="11"/>
      <c r="Y57" s="11"/>
      <c r="Z57" s="10"/>
      <c r="AA57" s="10"/>
      <c r="AB57" s="10"/>
    </row>
    <row r="58" spans="1:28" s="9" customFormat="1" ht="20.149999999999999" customHeight="1">
      <c r="A58" s="39" t="s">
        <v>17</v>
      </c>
      <c r="B58" s="39" t="s">
        <v>126</v>
      </c>
      <c r="C58" s="39" t="s">
        <v>127</v>
      </c>
      <c r="D58" s="60">
        <v>5.0000000000000001E-3</v>
      </c>
      <c r="E58" s="61">
        <v>0</v>
      </c>
      <c r="F58" s="62" t="s">
        <v>214</v>
      </c>
      <c r="G58" s="62" t="s">
        <v>143</v>
      </c>
      <c r="H58" s="62">
        <v>283.33964994798964</v>
      </c>
      <c r="I58" s="62">
        <f t="shared" si="38"/>
        <v>0</v>
      </c>
      <c r="J58" s="62">
        <v>0</v>
      </c>
      <c r="K58" s="62">
        <f t="shared" si="5"/>
        <v>0</v>
      </c>
      <c r="L58" s="61">
        <v>463.54</v>
      </c>
      <c r="M58" s="62">
        <f t="shared" si="6"/>
        <v>0</v>
      </c>
      <c r="N58" s="61">
        <v>0</v>
      </c>
      <c r="O58" s="62">
        <f t="shared" si="39"/>
        <v>0</v>
      </c>
      <c r="P58" s="61">
        <f t="shared" si="7"/>
        <v>0</v>
      </c>
      <c r="Q58" s="5"/>
      <c r="R58" s="5"/>
      <c r="S58" s="5"/>
      <c r="X58" s="11"/>
      <c r="Y58" s="11"/>
      <c r="Z58" s="10"/>
      <c r="AA58" s="10"/>
      <c r="AB58" s="10"/>
    </row>
    <row r="59" spans="1:28" s="9" customFormat="1" ht="20.149999999999999" customHeight="1">
      <c r="A59" s="39" t="s">
        <v>17</v>
      </c>
      <c r="B59" s="39" t="s">
        <v>128</v>
      </c>
      <c r="C59" s="39" t="s">
        <v>129</v>
      </c>
      <c r="D59" s="60">
        <v>0</v>
      </c>
      <c r="E59" s="61">
        <v>0</v>
      </c>
      <c r="F59" s="62" t="s">
        <v>214</v>
      </c>
      <c r="G59" s="63" t="s">
        <v>143</v>
      </c>
      <c r="H59" s="62">
        <v>283.33964994798964</v>
      </c>
      <c r="I59" s="62">
        <f t="shared" si="38"/>
        <v>0</v>
      </c>
      <c r="J59" s="62">
        <v>0</v>
      </c>
      <c r="K59" s="62">
        <f t="shared" si="5"/>
        <v>0</v>
      </c>
      <c r="L59" s="61">
        <v>463.54</v>
      </c>
      <c r="M59" s="62">
        <f t="shared" si="6"/>
        <v>0</v>
      </c>
      <c r="N59" s="61">
        <v>0</v>
      </c>
      <c r="O59" s="62">
        <f t="shared" si="39"/>
        <v>0</v>
      </c>
      <c r="P59" s="61">
        <f t="shared" si="7"/>
        <v>0</v>
      </c>
      <c r="Q59" s="5"/>
      <c r="R59" s="5"/>
      <c r="S59" s="5"/>
      <c r="X59" s="11"/>
      <c r="Y59" s="11"/>
      <c r="Z59" s="10"/>
      <c r="AA59" s="10"/>
      <c r="AB59" s="10"/>
    </row>
    <row r="60" spans="1:28" s="9" customFormat="1" ht="20.149999999999999" customHeight="1">
      <c r="A60" s="39" t="s">
        <v>17</v>
      </c>
      <c r="B60" s="39" t="s">
        <v>130</v>
      </c>
      <c r="C60" s="39" t="s">
        <v>131</v>
      </c>
      <c r="D60" s="60">
        <v>4.8000000000000001E-2</v>
      </c>
      <c r="E60" s="61">
        <v>6.0079599999999997</v>
      </c>
      <c r="F60" s="62" t="s">
        <v>214</v>
      </c>
      <c r="G60" s="62" t="s">
        <v>143</v>
      </c>
      <c r="H60" s="62">
        <v>283.33964994798964</v>
      </c>
      <c r="I60" s="62">
        <f t="shared" si="38"/>
        <v>1702.2932833015238</v>
      </c>
      <c r="J60" s="62">
        <v>0</v>
      </c>
      <c r="K60" s="62">
        <f t="shared" si="5"/>
        <v>1702.2932833015238</v>
      </c>
      <c r="L60" s="61">
        <v>463.54</v>
      </c>
      <c r="M60" s="62">
        <f t="shared" si="6"/>
        <v>2784.9297784</v>
      </c>
      <c r="N60" s="61">
        <v>0</v>
      </c>
      <c r="O60" s="62">
        <f t="shared" si="39"/>
        <v>2784.9297784</v>
      </c>
      <c r="P60" s="61">
        <f t="shared" si="7"/>
        <v>4487.2230617015239</v>
      </c>
      <c r="Q60" s="5"/>
      <c r="R60" s="5"/>
      <c r="S60" s="5"/>
      <c r="X60" s="11"/>
      <c r="Y60" s="11"/>
      <c r="Z60" s="10"/>
      <c r="AA60" s="10"/>
      <c r="AB60" s="10"/>
    </row>
    <row r="61" spans="1:28" s="9" customFormat="1" ht="20.149999999999999" customHeight="1">
      <c r="A61" s="39" t="s">
        <v>17</v>
      </c>
      <c r="B61" s="39" t="s">
        <v>132</v>
      </c>
      <c r="C61" s="39" t="s">
        <v>133</v>
      </c>
      <c r="D61" s="60">
        <v>1.9E-2</v>
      </c>
      <c r="E61" s="61">
        <v>0</v>
      </c>
      <c r="F61" s="62" t="s">
        <v>214</v>
      </c>
      <c r="G61" s="62" t="s">
        <v>143</v>
      </c>
      <c r="H61" s="62">
        <v>283.33964994798964</v>
      </c>
      <c r="I61" s="62">
        <f t="shared" si="38"/>
        <v>0</v>
      </c>
      <c r="J61" s="62">
        <v>0</v>
      </c>
      <c r="K61" s="62">
        <f t="shared" si="5"/>
        <v>0</v>
      </c>
      <c r="L61" s="61">
        <v>463.54</v>
      </c>
      <c r="M61" s="62">
        <f t="shared" si="6"/>
        <v>0</v>
      </c>
      <c r="N61" s="61">
        <v>0</v>
      </c>
      <c r="O61" s="62">
        <f t="shared" si="39"/>
        <v>0</v>
      </c>
      <c r="P61" s="61">
        <f t="shared" si="7"/>
        <v>0</v>
      </c>
      <c r="Q61" s="5"/>
      <c r="R61" s="5"/>
      <c r="S61" s="5"/>
      <c r="X61" s="11"/>
      <c r="Y61" s="11"/>
      <c r="Z61" s="10"/>
      <c r="AA61" s="10"/>
      <c r="AB61" s="10"/>
    </row>
    <row r="62" spans="1:28" s="27" customFormat="1" ht="20.149999999999999" customHeight="1">
      <c r="A62" s="26"/>
      <c r="B62" s="26"/>
      <c r="C62" s="26"/>
      <c r="D62" s="26"/>
      <c r="E62" s="52">
        <f>SUM(E5:E61)</f>
        <v>3650.8131620000004</v>
      </c>
      <c r="F62" s="53"/>
      <c r="G62" s="53"/>
      <c r="H62" s="53"/>
      <c r="I62" s="53"/>
      <c r="J62" s="53"/>
      <c r="K62" s="53"/>
      <c r="L62" s="53"/>
      <c r="M62" s="53"/>
      <c r="N62" s="54"/>
      <c r="O62" s="55"/>
      <c r="P62" s="56">
        <f>SUM(P5:P61)</f>
        <v>1754784.4398687035</v>
      </c>
      <c r="Q62" s="26"/>
      <c r="R62" s="26"/>
      <c r="S62" s="26"/>
      <c r="X62" s="28"/>
      <c r="Y62" s="28"/>
      <c r="Z62" s="21"/>
      <c r="AA62" s="21"/>
      <c r="AB62" s="21"/>
    </row>
    <row r="63" spans="1:28" ht="19.5" customHeight="1">
      <c r="P63" s="14"/>
    </row>
    <row r="70" spans="8:16" ht="19.5" customHeight="1">
      <c r="H70" s="14"/>
      <c r="I70" s="14"/>
      <c r="J70" s="14"/>
      <c r="K70" s="14"/>
      <c r="L70" s="14"/>
      <c r="M70" s="14"/>
      <c r="N70" s="14"/>
      <c r="O70" s="14"/>
      <c r="P70" s="14"/>
    </row>
    <row r="71" spans="8:16" ht="19.5" customHeight="1">
      <c r="H71" s="14"/>
      <c r="I71" s="14"/>
      <c r="J71" s="14"/>
      <c r="K71" s="14"/>
      <c r="L71" s="14"/>
      <c r="M71" s="14"/>
      <c r="N71" s="14"/>
      <c r="O71" s="14"/>
      <c r="P71" s="14"/>
    </row>
    <row r="72" spans="8:16" ht="19.5" customHeight="1">
      <c r="H72" s="14"/>
      <c r="I72" s="14"/>
      <c r="J72" s="14"/>
      <c r="K72" s="14"/>
      <c r="L72" s="14"/>
      <c r="M72" s="14"/>
      <c r="N72" s="14"/>
      <c r="O72" s="14"/>
      <c r="P72" s="14"/>
    </row>
  </sheetData>
  <mergeCells count="2">
    <mergeCell ref="L3:O3"/>
    <mergeCell ref="H3:K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76A06-2432-4079-86A1-C74A09F4F41C}">
  <dimension ref="A1:AF27"/>
  <sheetViews>
    <sheetView showGridLines="0" zoomScale="85" zoomScaleNormal="85" workbookViewId="0">
      <selection activeCell="A3" sqref="A3"/>
    </sheetView>
  </sheetViews>
  <sheetFormatPr defaultRowHeight="19.5" customHeight="1"/>
  <cols>
    <col min="1" max="2" width="30.6640625" customWidth="1"/>
    <col min="3" max="3" width="44.5" customWidth="1"/>
    <col min="4" max="10" width="21.08203125" customWidth="1"/>
    <col min="11" max="16" width="16.6640625" customWidth="1"/>
    <col min="17" max="20" width="20.6640625" customWidth="1"/>
  </cols>
  <sheetData>
    <row r="1" spans="1:32" ht="49.5" customHeight="1">
      <c r="C1" s="51" t="str">
        <f>RESUMO!C1</f>
        <v>reembolso mensal CCC - RORAIMA</v>
      </c>
      <c r="I1" s="15"/>
      <c r="J1" s="15"/>
      <c r="K1" s="15"/>
      <c r="L1" s="15"/>
      <c r="M1" s="15"/>
      <c r="N1" s="15"/>
      <c r="O1" s="15"/>
    </row>
    <row r="2" spans="1:32" ht="46" customHeight="1">
      <c r="C2" s="33" t="s">
        <v>239</v>
      </c>
      <c r="D2" s="13">
        <f>RESUMO!C2</f>
        <v>46143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32" ht="42">
      <c r="A3" s="75" t="s">
        <v>216</v>
      </c>
      <c r="B3" s="75" t="s">
        <v>4</v>
      </c>
      <c r="C3" s="75" t="s">
        <v>217</v>
      </c>
      <c r="D3" s="75" t="s">
        <v>252</v>
      </c>
      <c r="E3" s="75" t="s">
        <v>363</v>
      </c>
      <c r="F3" s="75" t="s">
        <v>362</v>
      </c>
      <c r="G3" s="75" t="s">
        <v>360</v>
      </c>
      <c r="H3" s="75" t="s">
        <v>361</v>
      </c>
      <c r="I3" s="75" t="s">
        <v>299</v>
      </c>
      <c r="J3" s="75" t="s">
        <v>250</v>
      </c>
    </row>
    <row r="4" spans="1:32" s="69" customFormat="1" ht="14">
      <c r="A4" s="39" t="s">
        <v>17</v>
      </c>
      <c r="B4" s="85" t="s">
        <v>305</v>
      </c>
      <c r="C4" s="85" t="s">
        <v>315</v>
      </c>
      <c r="D4" s="87">
        <v>1.4355899999999999</v>
      </c>
      <c r="E4" s="57">
        <v>4921.26</v>
      </c>
      <c r="F4" s="57">
        <v>7359.06</v>
      </c>
      <c r="G4" s="57">
        <v>7359.06</v>
      </c>
      <c r="H4" s="57">
        <v>4311.83</v>
      </c>
      <c r="I4" s="57">
        <f>ROUND((H4*ROUND((G4/F4),12))+E4,2)</f>
        <v>9233.09</v>
      </c>
      <c r="J4" s="57">
        <f>I4*D4</f>
        <v>13254.9316731</v>
      </c>
      <c r="K4" s="76"/>
      <c r="L4" s="76"/>
      <c r="M4" s="76"/>
      <c r="N4" s="76"/>
      <c r="O4" s="77"/>
      <c r="P4" s="77"/>
      <c r="Q4" s="78"/>
      <c r="R4" s="78"/>
      <c r="S4" s="78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</row>
    <row r="5" spans="1:32" ht="19.5" customHeight="1">
      <c r="A5" s="39" t="s">
        <v>17</v>
      </c>
      <c r="B5" s="85" t="s">
        <v>306</v>
      </c>
      <c r="C5" s="86" t="s">
        <v>316</v>
      </c>
      <c r="D5" s="87">
        <v>1.29044</v>
      </c>
      <c r="E5" s="57">
        <v>4921.26</v>
      </c>
      <c r="F5" s="57">
        <v>7359.06</v>
      </c>
      <c r="G5" s="57">
        <v>7359.06</v>
      </c>
      <c r="H5" s="57">
        <v>4311.83</v>
      </c>
      <c r="I5" s="57">
        <f t="shared" ref="I5:I26" si="0">ROUND((H5*ROUND((G5/F5),12))+E5,2)</f>
        <v>9233.09</v>
      </c>
      <c r="J5" s="57">
        <f t="shared" ref="J5:J14" si="1">I5*D5</f>
        <v>11914.7486596</v>
      </c>
      <c r="K5" s="9"/>
      <c r="L5" s="9"/>
      <c r="M5" s="9"/>
      <c r="N5" s="9"/>
      <c r="O5" s="11"/>
      <c r="P5" s="11"/>
      <c r="Q5" s="10"/>
      <c r="R5" s="10"/>
      <c r="S5" s="10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19.5" customHeight="1">
      <c r="A6" s="39" t="s">
        <v>17</v>
      </c>
      <c r="B6" s="85" t="s">
        <v>307</v>
      </c>
      <c r="C6" s="86" t="s">
        <v>317</v>
      </c>
      <c r="D6" s="87">
        <v>1.8768</v>
      </c>
      <c r="E6" s="57">
        <v>4921.26</v>
      </c>
      <c r="F6" s="57">
        <v>7359.06</v>
      </c>
      <c r="G6" s="57">
        <v>7359.06</v>
      </c>
      <c r="H6" s="57">
        <v>4311.83</v>
      </c>
      <c r="I6" s="57">
        <f t="shared" si="0"/>
        <v>9233.09</v>
      </c>
      <c r="J6" s="57">
        <f t="shared" si="1"/>
        <v>17328.663312000001</v>
      </c>
      <c r="K6" s="9"/>
      <c r="L6" s="9"/>
      <c r="M6" s="9"/>
      <c r="N6" s="9"/>
      <c r="O6" s="11"/>
      <c r="P6" s="11"/>
      <c r="Q6" s="10"/>
      <c r="R6" s="10"/>
      <c r="S6" s="10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s="69" customFormat="1" ht="19.5" customHeight="1">
      <c r="A7" s="39" t="s">
        <v>17</v>
      </c>
      <c r="B7" s="85" t="s">
        <v>308</v>
      </c>
      <c r="C7" s="85" t="s">
        <v>318</v>
      </c>
      <c r="D7" s="87">
        <v>1.9595199999999999</v>
      </c>
      <c r="E7" s="57">
        <v>4921.26</v>
      </c>
      <c r="F7" s="57">
        <v>7359.06</v>
      </c>
      <c r="G7" s="57">
        <v>7359.06</v>
      </c>
      <c r="H7" s="57">
        <v>4311.83</v>
      </c>
      <c r="I7" s="57">
        <f t="shared" si="0"/>
        <v>9233.09</v>
      </c>
      <c r="J7" s="57">
        <f t="shared" si="1"/>
        <v>18092.424516799998</v>
      </c>
    </row>
    <row r="8" spans="1:32" ht="19.5" customHeight="1">
      <c r="A8" s="39" t="s">
        <v>17</v>
      </c>
      <c r="B8" s="85" t="s">
        <v>309</v>
      </c>
      <c r="C8" s="86" t="s">
        <v>319</v>
      </c>
      <c r="D8" s="87">
        <v>2.1566000000000001</v>
      </c>
      <c r="E8" s="57">
        <v>4921.26</v>
      </c>
      <c r="F8" s="57">
        <v>7359.06</v>
      </c>
      <c r="G8" s="57">
        <v>7359.06</v>
      </c>
      <c r="H8" s="57">
        <v>4311.83</v>
      </c>
      <c r="I8" s="57">
        <f t="shared" si="0"/>
        <v>9233.09</v>
      </c>
      <c r="J8" s="57">
        <f t="shared" si="1"/>
        <v>19912.081894000003</v>
      </c>
    </row>
    <row r="9" spans="1:32" ht="19.5" customHeight="1">
      <c r="A9" s="39" t="s">
        <v>17</v>
      </c>
      <c r="B9" s="85" t="s">
        <v>310</v>
      </c>
      <c r="C9" s="86" t="s">
        <v>320</v>
      </c>
      <c r="D9" s="87">
        <v>0</v>
      </c>
      <c r="E9" s="57">
        <v>4921.26</v>
      </c>
      <c r="F9" s="57">
        <v>7359.06</v>
      </c>
      <c r="G9" s="57">
        <v>7359.06</v>
      </c>
      <c r="H9" s="57">
        <v>4311.83</v>
      </c>
      <c r="I9" s="57">
        <f t="shared" si="0"/>
        <v>9233.09</v>
      </c>
      <c r="J9" s="57">
        <f t="shared" si="1"/>
        <v>0</v>
      </c>
    </row>
    <row r="10" spans="1:32" ht="19.5" customHeight="1">
      <c r="A10" s="39" t="s">
        <v>17</v>
      </c>
      <c r="B10" s="85" t="s">
        <v>311</v>
      </c>
      <c r="C10" s="86" t="s">
        <v>321</v>
      </c>
      <c r="D10" s="87">
        <v>0</v>
      </c>
      <c r="E10" s="57">
        <v>4921.26</v>
      </c>
      <c r="F10" s="57">
        <v>7359.06</v>
      </c>
      <c r="G10" s="57">
        <v>7359.06</v>
      </c>
      <c r="H10" s="57">
        <v>4311.83</v>
      </c>
      <c r="I10" s="57">
        <f t="shared" si="0"/>
        <v>9233.09</v>
      </c>
      <c r="J10" s="57">
        <f t="shared" si="1"/>
        <v>0</v>
      </c>
      <c r="K10" s="14"/>
      <c r="L10" s="14"/>
      <c r="M10" s="14"/>
      <c r="N10" s="14"/>
      <c r="O10" s="14"/>
      <c r="P10" s="14"/>
    </row>
    <row r="11" spans="1:32" ht="19.5" customHeight="1">
      <c r="A11" s="39" t="s">
        <v>17</v>
      </c>
      <c r="B11" s="85" t="s">
        <v>312</v>
      </c>
      <c r="C11" s="86" t="s">
        <v>322</v>
      </c>
      <c r="D11" s="87">
        <v>1.5226099999999998</v>
      </c>
      <c r="E11" s="57">
        <v>4921.26</v>
      </c>
      <c r="F11" s="57">
        <v>7359.06</v>
      </c>
      <c r="G11" s="57">
        <v>7359.06</v>
      </c>
      <c r="H11" s="57">
        <v>4311.83</v>
      </c>
      <c r="I11" s="57">
        <f t="shared" si="0"/>
        <v>9233.09</v>
      </c>
      <c r="J11" s="57">
        <f t="shared" si="1"/>
        <v>14058.395164899999</v>
      </c>
      <c r="K11" s="14"/>
      <c r="L11" s="14"/>
      <c r="M11" s="14"/>
      <c r="N11" s="14"/>
      <c r="O11" s="14"/>
      <c r="P11" s="14"/>
    </row>
    <row r="12" spans="1:32" ht="19.5" customHeight="1">
      <c r="A12" s="39" t="s">
        <v>17</v>
      </c>
      <c r="B12" s="85" t="s">
        <v>313</v>
      </c>
      <c r="C12" s="86" t="s">
        <v>323</v>
      </c>
      <c r="D12" s="87">
        <v>1.9820899999999999</v>
      </c>
      <c r="E12" s="57">
        <v>4921.26</v>
      </c>
      <c r="F12" s="57">
        <v>7359.06</v>
      </c>
      <c r="G12" s="57">
        <v>7359.06</v>
      </c>
      <c r="H12" s="57">
        <v>4311.83</v>
      </c>
      <c r="I12" s="57">
        <f t="shared" si="0"/>
        <v>9233.09</v>
      </c>
      <c r="J12" s="57">
        <f t="shared" si="1"/>
        <v>18300.815358100001</v>
      </c>
      <c r="K12" s="14"/>
      <c r="L12" s="14"/>
      <c r="M12" s="14"/>
      <c r="N12" s="14"/>
      <c r="O12" s="14"/>
      <c r="P12" s="14"/>
    </row>
    <row r="13" spans="1:32" ht="19.5" customHeight="1">
      <c r="A13" s="39" t="s">
        <v>17</v>
      </c>
      <c r="B13" s="85" t="s">
        <v>314</v>
      </c>
      <c r="C13" s="86" t="s">
        <v>324</v>
      </c>
      <c r="D13" s="87">
        <v>1.02999</v>
      </c>
      <c r="E13" s="57">
        <v>4921.26</v>
      </c>
      <c r="F13" s="57">
        <v>7359.06</v>
      </c>
      <c r="G13" s="57">
        <v>7359.06</v>
      </c>
      <c r="H13" s="57">
        <v>4311.83</v>
      </c>
      <c r="I13" s="57">
        <f t="shared" si="0"/>
        <v>9233.09</v>
      </c>
      <c r="J13" s="57">
        <f t="shared" si="1"/>
        <v>9509.9903691</v>
      </c>
    </row>
    <row r="14" spans="1:32" ht="19.5" customHeight="1">
      <c r="A14" s="39" t="s">
        <v>17</v>
      </c>
      <c r="B14" s="85" t="s">
        <v>325</v>
      </c>
      <c r="C14" s="86" t="s">
        <v>327</v>
      </c>
      <c r="D14" s="87">
        <v>2.2345799999999998</v>
      </c>
      <c r="E14" s="57">
        <v>4921.26</v>
      </c>
      <c r="F14" s="57">
        <v>7359.06</v>
      </c>
      <c r="G14" s="57">
        <v>7359.06</v>
      </c>
      <c r="H14" s="57">
        <v>4311.83</v>
      </c>
      <c r="I14" s="57">
        <f t="shared" si="0"/>
        <v>9233.09</v>
      </c>
      <c r="J14" s="57">
        <f t="shared" si="1"/>
        <v>20632.078252199997</v>
      </c>
    </row>
    <row r="15" spans="1:32" ht="19.5" customHeight="1">
      <c r="A15" s="39" t="s">
        <v>17</v>
      </c>
      <c r="B15" s="85" t="s">
        <v>326</v>
      </c>
      <c r="C15" s="86" t="s">
        <v>328</v>
      </c>
      <c r="D15" s="87">
        <v>1.75444</v>
      </c>
      <c r="E15" s="57">
        <v>4921.26</v>
      </c>
      <c r="F15" s="57">
        <v>7359.06</v>
      </c>
      <c r="G15" s="57">
        <v>7359.06</v>
      </c>
      <c r="H15" s="57">
        <v>4311.83</v>
      </c>
      <c r="I15" s="57">
        <f t="shared" si="0"/>
        <v>9233.09</v>
      </c>
      <c r="J15" s="57">
        <f t="shared" ref="J15:J19" si="2">I15*D15</f>
        <v>16198.902419600001</v>
      </c>
    </row>
    <row r="16" spans="1:32" ht="19.5" customHeight="1">
      <c r="A16" s="39" t="s">
        <v>17</v>
      </c>
      <c r="B16" s="85" t="s">
        <v>334</v>
      </c>
      <c r="C16" s="86" t="s">
        <v>330</v>
      </c>
      <c r="D16" s="87">
        <v>2.1190900000000004</v>
      </c>
      <c r="E16" s="57">
        <v>4921.26</v>
      </c>
      <c r="F16" s="57">
        <v>7359.06</v>
      </c>
      <c r="G16" s="57">
        <v>7359.06</v>
      </c>
      <c r="H16" s="57">
        <v>4311.83</v>
      </c>
      <c r="I16" s="57">
        <f t="shared" si="0"/>
        <v>9233.09</v>
      </c>
      <c r="J16" s="57">
        <f t="shared" si="2"/>
        <v>19565.748688100004</v>
      </c>
    </row>
    <row r="17" spans="1:10" ht="19.5" customHeight="1">
      <c r="A17" s="39" t="s">
        <v>17</v>
      </c>
      <c r="B17" s="85" t="s">
        <v>335</v>
      </c>
      <c r="C17" s="86" t="s">
        <v>331</v>
      </c>
      <c r="D17" s="87">
        <v>0.82847000000000004</v>
      </c>
      <c r="E17" s="57">
        <v>4921.26</v>
      </c>
      <c r="F17" s="57">
        <v>7359.06</v>
      </c>
      <c r="G17" s="57">
        <v>7359.06</v>
      </c>
      <c r="H17" s="57">
        <v>4311.83</v>
      </c>
      <c r="I17" s="57">
        <f t="shared" si="0"/>
        <v>9233.09</v>
      </c>
      <c r="J17" s="57">
        <f t="shared" si="2"/>
        <v>7649.3380723000009</v>
      </c>
    </row>
    <row r="18" spans="1:10" ht="19.5" customHeight="1">
      <c r="A18" s="39" t="s">
        <v>17</v>
      </c>
      <c r="B18" s="85" t="s">
        <v>336</v>
      </c>
      <c r="C18" s="86" t="s">
        <v>332</v>
      </c>
      <c r="D18" s="87">
        <v>1.82891</v>
      </c>
      <c r="E18" s="57">
        <v>4921.26</v>
      </c>
      <c r="F18" s="57">
        <v>7359.06</v>
      </c>
      <c r="G18" s="57">
        <v>7359.06</v>
      </c>
      <c r="H18" s="57">
        <v>4311.83</v>
      </c>
      <c r="I18" s="57">
        <f t="shared" si="0"/>
        <v>9233.09</v>
      </c>
      <c r="J18" s="57">
        <f t="shared" si="2"/>
        <v>16886.4906319</v>
      </c>
    </row>
    <row r="19" spans="1:10" ht="19.5" customHeight="1">
      <c r="A19" s="39" t="s">
        <v>17</v>
      </c>
      <c r="B19" s="85" t="s">
        <v>337</v>
      </c>
      <c r="C19" s="86" t="s">
        <v>333</v>
      </c>
      <c r="D19" s="87">
        <v>1.5897600000000001</v>
      </c>
      <c r="E19" s="57">
        <v>4921.26</v>
      </c>
      <c r="F19" s="57">
        <v>7359.06</v>
      </c>
      <c r="G19" s="57">
        <v>7359.06</v>
      </c>
      <c r="H19" s="57">
        <v>4311.83</v>
      </c>
      <c r="I19" s="57">
        <f t="shared" si="0"/>
        <v>9233.09</v>
      </c>
      <c r="J19" s="57">
        <f t="shared" si="2"/>
        <v>14678.397158400001</v>
      </c>
    </row>
    <row r="20" spans="1:10" ht="19.5" customHeight="1">
      <c r="A20" s="39" t="s">
        <v>17</v>
      </c>
      <c r="B20" s="85" t="s">
        <v>344</v>
      </c>
      <c r="C20" s="86" t="s">
        <v>343</v>
      </c>
      <c r="D20" s="87">
        <v>0.62817999999999996</v>
      </c>
      <c r="E20" s="57">
        <v>4921.26</v>
      </c>
      <c r="F20" s="57">
        <v>7359.06</v>
      </c>
      <c r="G20" s="57">
        <v>7359.06</v>
      </c>
      <c r="H20" s="57">
        <v>4311.83</v>
      </c>
      <c r="I20" s="57">
        <f t="shared" si="0"/>
        <v>9233.09</v>
      </c>
      <c r="J20" s="57">
        <f t="shared" ref="J20:J26" si="3">I20*D20</f>
        <v>5800.0424761999993</v>
      </c>
    </row>
    <row r="21" spans="1:10" ht="19.5" customHeight="1">
      <c r="A21" s="39" t="s">
        <v>17</v>
      </c>
      <c r="B21" s="85" t="s">
        <v>345</v>
      </c>
      <c r="C21" s="86" t="s">
        <v>346</v>
      </c>
      <c r="D21" s="87">
        <v>1.1351600000000002</v>
      </c>
      <c r="E21" s="57">
        <v>4921.26</v>
      </c>
      <c r="F21" s="57">
        <v>7359.06</v>
      </c>
      <c r="G21" s="57">
        <v>7359.06</v>
      </c>
      <c r="H21" s="57">
        <v>4311.83</v>
      </c>
      <c r="I21" s="57">
        <f t="shared" si="0"/>
        <v>9233.09</v>
      </c>
      <c r="J21" s="57">
        <f t="shared" si="3"/>
        <v>10481.034444400002</v>
      </c>
    </row>
    <row r="22" spans="1:10" ht="19.5" customHeight="1">
      <c r="A22" s="39" t="s">
        <v>17</v>
      </c>
      <c r="B22" s="85" t="s">
        <v>347</v>
      </c>
      <c r="C22" s="86" t="s">
        <v>352</v>
      </c>
      <c r="D22" s="87">
        <v>1.4437599999999999</v>
      </c>
      <c r="E22" s="57">
        <v>4921.26</v>
      </c>
      <c r="F22" s="57">
        <v>7359.06</v>
      </c>
      <c r="G22" s="57">
        <v>7359.06</v>
      </c>
      <c r="H22" s="57">
        <v>4311.83</v>
      </c>
      <c r="I22" s="57">
        <f t="shared" si="0"/>
        <v>9233.09</v>
      </c>
      <c r="J22" s="57">
        <f t="shared" si="3"/>
        <v>13330.3660184</v>
      </c>
    </row>
    <row r="23" spans="1:10" ht="19.5" customHeight="1">
      <c r="A23" s="39" t="s">
        <v>17</v>
      </c>
      <c r="B23" s="85" t="s">
        <v>348</v>
      </c>
      <c r="C23" s="86" t="s">
        <v>353</v>
      </c>
      <c r="D23" s="87">
        <v>1.40263</v>
      </c>
      <c r="E23" s="57">
        <v>4921.26</v>
      </c>
      <c r="F23" s="57">
        <v>7359.06</v>
      </c>
      <c r="G23" s="57">
        <v>7359.06</v>
      </c>
      <c r="H23" s="57">
        <v>4311.83</v>
      </c>
      <c r="I23" s="57">
        <f t="shared" si="0"/>
        <v>9233.09</v>
      </c>
      <c r="J23" s="57">
        <f t="shared" si="3"/>
        <v>12950.6090267</v>
      </c>
    </row>
    <row r="24" spans="1:10" ht="19.5" customHeight="1">
      <c r="A24" s="39" t="s">
        <v>17</v>
      </c>
      <c r="B24" s="85" t="s">
        <v>349</v>
      </c>
      <c r="C24" s="86" t="s">
        <v>354</v>
      </c>
      <c r="D24" s="87">
        <v>0.82016999999999995</v>
      </c>
      <c r="E24" s="57">
        <v>4921.26</v>
      </c>
      <c r="F24" s="57">
        <v>7359.06</v>
      </c>
      <c r="G24" s="57">
        <v>7359.06</v>
      </c>
      <c r="H24" s="57">
        <v>4311.83</v>
      </c>
      <c r="I24" s="57">
        <f t="shared" si="0"/>
        <v>9233.09</v>
      </c>
      <c r="J24" s="57">
        <f t="shared" si="3"/>
        <v>7572.7034252999993</v>
      </c>
    </row>
    <row r="25" spans="1:10" ht="19.5" customHeight="1">
      <c r="A25" s="39" t="s">
        <v>17</v>
      </c>
      <c r="B25" s="85" t="s">
        <v>350</v>
      </c>
      <c r="C25" s="86" t="s">
        <v>355</v>
      </c>
      <c r="D25" s="87">
        <v>1.29657</v>
      </c>
      <c r="E25" s="57">
        <v>4921.26</v>
      </c>
      <c r="F25" s="57">
        <v>7359.06</v>
      </c>
      <c r="G25" s="57">
        <v>7359.06</v>
      </c>
      <c r="H25" s="57">
        <v>4311.83</v>
      </c>
      <c r="I25" s="57">
        <f t="shared" si="0"/>
        <v>9233.09</v>
      </c>
      <c r="J25" s="57">
        <f t="shared" si="3"/>
        <v>11971.347501300001</v>
      </c>
    </row>
    <row r="26" spans="1:10" ht="19.5" customHeight="1">
      <c r="A26" s="39" t="s">
        <v>17</v>
      </c>
      <c r="B26" s="85" t="s">
        <v>351</v>
      </c>
      <c r="C26" s="86" t="s">
        <v>356</v>
      </c>
      <c r="D26" s="87">
        <v>1.14924</v>
      </c>
      <c r="E26" s="57">
        <v>4921.26</v>
      </c>
      <c r="F26" s="57">
        <v>7359.06</v>
      </c>
      <c r="G26" s="57">
        <v>7359.06</v>
      </c>
      <c r="H26" s="57">
        <v>4311.83</v>
      </c>
      <c r="I26" s="57">
        <f t="shared" si="0"/>
        <v>9233.09</v>
      </c>
      <c r="J26" s="57">
        <f t="shared" si="3"/>
        <v>10611.0363516</v>
      </c>
    </row>
    <row r="27" spans="1:10" ht="19.5" customHeight="1">
      <c r="D27" s="88">
        <f>SUM(D4:D26)</f>
        <v>31.484599999999993</v>
      </c>
      <c r="J27" s="88">
        <f>SUM(J4:J26)</f>
        <v>290700.14541400003</v>
      </c>
    </row>
  </sheetData>
  <phoneticPr fontId="2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B017-7C08-4D53-A935-8189B5ECADB5}">
  <dimension ref="A1:AG13"/>
  <sheetViews>
    <sheetView showGridLines="0" zoomScale="85" zoomScaleNormal="85" workbookViewId="0">
      <selection activeCell="A5" sqref="A5"/>
    </sheetView>
  </sheetViews>
  <sheetFormatPr defaultRowHeight="19.5" customHeight="1"/>
  <cols>
    <col min="1" max="1" width="30.6640625" customWidth="1"/>
    <col min="2" max="11" width="17.9140625" customWidth="1"/>
    <col min="12" max="17" width="16.6640625" customWidth="1"/>
    <col min="18" max="21" width="20.6640625" customWidth="1"/>
  </cols>
  <sheetData>
    <row r="1" spans="1:33" ht="49.5" customHeight="1">
      <c r="C1" s="51" t="str">
        <f>RESUMO!C1</f>
        <v>reembolso mensal CCC - RORAIMA</v>
      </c>
      <c r="I1" s="15"/>
      <c r="J1" s="15"/>
      <c r="K1" s="15"/>
      <c r="L1" s="15"/>
      <c r="M1" s="15"/>
      <c r="N1" s="15"/>
      <c r="O1" s="15"/>
      <c r="P1" s="15"/>
    </row>
    <row r="2" spans="1:33" ht="30" customHeight="1">
      <c r="C2" s="33" t="s">
        <v>239</v>
      </c>
      <c r="D2" s="13">
        <f>RESUMO!C2</f>
        <v>46143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4" spans="1:33" s="69" customFormat="1" ht="42">
      <c r="A4" s="75" t="s">
        <v>216</v>
      </c>
      <c r="B4" s="75" t="s">
        <v>295</v>
      </c>
      <c r="C4" s="75" t="s">
        <v>296</v>
      </c>
      <c r="D4" s="75" t="s">
        <v>297</v>
      </c>
      <c r="E4" s="75" t="s">
        <v>298</v>
      </c>
      <c r="F4" s="75" t="s">
        <v>359</v>
      </c>
      <c r="G4" s="75" t="s">
        <v>360</v>
      </c>
      <c r="H4" s="75" t="s">
        <v>361</v>
      </c>
      <c r="I4" s="75" t="s">
        <v>299</v>
      </c>
      <c r="J4" s="75" t="s">
        <v>300</v>
      </c>
      <c r="K4" s="75" t="s">
        <v>301</v>
      </c>
      <c r="L4" s="76"/>
      <c r="M4" s="76"/>
      <c r="N4" s="76"/>
      <c r="O4" s="76"/>
      <c r="P4" s="77"/>
      <c r="Q4" s="77"/>
      <c r="R4" s="78"/>
      <c r="S4" s="78"/>
      <c r="T4" s="78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</row>
    <row r="5" spans="1:33" ht="19.5" customHeight="1">
      <c r="A5" s="39" t="s">
        <v>17</v>
      </c>
      <c r="B5" s="79" t="s">
        <v>302</v>
      </c>
      <c r="C5" s="80">
        <f>80/1000</f>
        <v>0.08</v>
      </c>
      <c r="D5" s="81">
        <v>997</v>
      </c>
      <c r="E5" s="45">
        <f>(D5*C5)</f>
        <v>79.760000000000005</v>
      </c>
      <c r="F5" s="62">
        <v>7359.06</v>
      </c>
      <c r="G5" s="62">
        <v>7359.06</v>
      </c>
      <c r="H5" s="62">
        <v>4311.83</v>
      </c>
      <c r="I5" s="62">
        <f>(4921.26+(H5*G5/F5))</f>
        <v>9233.09</v>
      </c>
      <c r="J5" s="45">
        <f>C5*$I$5</f>
        <v>738.6472</v>
      </c>
      <c r="K5" s="62">
        <f>D5*J5</f>
        <v>736431.25840000005</v>
      </c>
      <c r="L5" s="9"/>
      <c r="M5" s="9"/>
      <c r="N5" s="9"/>
      <c r="O5" s="9"/>
      <c r="P5" s="11"/>
      <c r="Q5" s="11"/>
      <c r="R5" s="10"/>
      <c r="S5" s="10"/>
      <c r="T5" s="10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19.5" customHeight="1">
      <c r="A6" s="39" t="s">
        <v>17</v>
      </c>
      <c r="B6" s="79" t="s">
        <v>303</v>
      </c>
      <c r="C6" s="80">
        <f>160/1000</f>
        <v>0.16</v>
      </c>
      <c r="D6" s="81">
        <v>44</v>
      </c>
      <c r="E6" s="45">
        <f>(D6*C6)</f>
        <v>7.04</v>
      </c>
      <c r="F6" s="62">
        <v>7359.06</v>
      </c>
      <c r="G6" s="62">
        <v>7359.06</v>
      </c>
      <c r="H6" s="62">
        <v>4311.83</v>
      </c>
      <c r="I6" s="62">
        <f>(4921.26+(H6*G6/F6))</f>
        <v>9233.09</v>
      </c>
      <c r="J6" s="45">
        <f>C6*$I$6</f>
        <v>1477.2944</v>
      </c>
      <c r="K6" s="62">
        <f>D6*J6</f>
        <v>65000.953600000001</v>
      </c>
      <c r="L6" s="9"/>
      <c r="M6" s="9"/>
      <c r="N6" s="9"/>
      <c r="O6" s="9"/>
      <c r="P6" s="11"/>
      <c r="Q6" s="11"/>
      <c r="R6" s="10"/>
      <c r="S6" s="10"/>
      <c r="T6" s="1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19.5" customHeight="1">
      <c r="A7" s="39" t="s">
        <v>17</v>
      </c>
      <c r="B7" s="79" t="s">
        <v>357</v>
      </c>
      <c r="C7" s="80">
        <f>180/1000</f>
        <v>0.18</v>
      </c>
      <c r="D7" s="81">
        <v>125</v>
      </c>
      <c r="E7" s="45">
        <f>(D7*C7)</f>
        <v>22.5</v>
      </c>
      <c r="F7" s="62">
        <v>7359.06</v>
      </c>
      <c r="G7" s="62">
        <v>7359.06</v>
      </c>
      <c r="H7" s="62">
        <v>4311.83</v>
      </c>
      <c r="I7" s="62">
        <f>(4921.26+(H7*G7/F7))</f>
        <v>9233.09</v>
      </c>
      <c r="J7" s="45">
        <f>C7*$I$7</f>
        <v>1661.9561999999999</v>
      </c>
      <c r="K7" s="62">
        <f>D7*J7</f>
        <v>207744.52499999999</v>
      </c>
      <c r="L7" s="9"/>
      <c r="M7" s="9"/>
      <c r="N7" s="9"/>
      <c r="O7" s="9"/>
      <c r="P7" s="11"/>
      <c r="Q7" s="11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69" customFormat="1" ht="19.5" customHeight="1">
      <c r="C8" s="82"/>
      <c r="D8" s="99">
        <f>SUBTOTAL(9,D5:D7)</f>
        <v>1166</v>
      </c>
      <c r="E8" s="52">
        <f>SUBTOTAL(9,E5:E7)</f>
        <v>109.30000000000001</v>
      </c>
      <c r="J8" s="83"/>
      <c r="K8" s="52">
        <f>SUBTOTAL(9,K5:K7)</f>
        <v>1009176.7370000001</v>
      </c>
    </row>
    <row r="11" spans="1:33" ht="19.5" customHeight="1">
      <c r="I11" s="14"/>
      <c r="J11" s="14"/>
      <c r="K11" s="14"/>
      <c r="L11" s="14"/>
      <c r="M11" s="14"/>
      <c r="N11" s="14"/>
      <c r="O11" s="14"/>
      <c r="P11" s="14"/>
      <c r="Q11" s="14"/>
    </row>
    <row r="12" spans="1:33" ht="19.5" customHeight="1">
      <c r="I12" s="14"/>
      <c r="J12" s="14"/>
      <c r="K12" s="14"/>
      <c r="L12" s="14"/>
      <c r="M12" s="14"/>
      <c r="N12" s="14"/>
      <c r="O12" s="14"/>
      <c r="P12" s="14"/>
      <c r="Q12" s="14"/>
    </row>
    <row r="13" spans="1:33" ht="19.5" customHeight="1">
      <c r="I13" s="14"/>
      <c r="J13" s="14"/>
      <c r="K13" s="14"/>
      <c r="L13" s="14"/>
      <c r="M13" s="14"/>
      <c r="N13" s="14"/>
      <c r="O13" s="14"/>
      <c r="P13" s="14"/>
      <c r="Q13" s="1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893B-A1DE-4E29-A39B-8D3891164616}">
  <dimension ref="A1:Y32"/>
  <sheetViews>
    <sheetView showGridLines="0" zoomScale="85" zoomScaleNormal="85" workbookViewId="0">
      <selection activeCell="A4" sqref="A4"/>
    </sheetView>
  </sheetViews>
  <sheetFormatPr defaultColWidth="9.1640625" defaultRowHeight="19.5" customHeight="1"/>
  <cols>
    <col min="1" max="1" width="23.6640625" customWidth="1"/>
    <col min="2" max="2" width="28.6640625" customWidth="1"/>
    <col min="3" max="3" width="26.6640625" customWidth="1"/>
    <col min="4" max="4" width="30.6640625" customWidth="1"/>
    <col min="5" max="21" width="16.6640625" customWidth="1"/>
    <col min="22" max="22" width="17.58203125" customWidth="1"/>
    <col min="23" max="23" width="16.6640625" customWidth="1"/>
    <col min="24" max="24" width="20.6640625" customWidth="1"/>
  </cols>
  <sheetData>
    <row r="1" spans="1:25" ht="49.5" customHeight="1">
      <c r="C1" s="51" t="str">
        <f>RESUMO!C1</f>
        <v>reembolso mensal CCC - RORAIMA</v>
      </c>
    </row>
    <row r="2" spans="1:25" ht="30" customHeight="1">
      <c r="C2" s="33" t="s">
        <v>239</v>
      </c>
      <c r="D2" s="13">
        <f>RESUMO!C2</f>
        <v>46143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5" s="9" customFormat="1" ht="60" customHeight="1">
      <c r="A3" s="59" t="s">
        <v>216</v>
      </c>
      <c r="B3" s="59" t="s">
        <v>184</v>
      </c>
      <c r="C3" s="59" t="s">
        <v>4</v>
      </c>
      <c r="D3" s="59" t="s">
        <v>217</v>
      </c>
      <c r="E3" s="59" t="s">
        <v>252</v>
      </c>
      <c r="F3" s="59" t="s">
        <v>264</v>
      </c>
      <c r="G3" s="59" t="s">
        <v>265</v>
      </c>
      <c r="H3" s="59" t="s">
        <v>266</v>
      </c>
      <c r="I3" s="59" t="s">
        <v>267</v>
      </c>
      <c r="J3" s="59" t="s">
        <v>268</v>
      </c>
      <c r="K3" s="59" t="s">
        <v>269</v>
      </c>
      <c r="L3" s="66" t="s">
        <v>270</v>
      </c>
      <c r="M3" s="66" t="s">
        <v>271</v>
      </c>
      <c r="N3" s="66" t="s">
        <v>213</v>
      </c>
      <c r="O3" s="66" t="s">
        <v>272</v>
      </c>
      <c r="P3" s="66" t="s">
        <v>273</v>
      </c>
      <c r="Q3" s="66" t="s">
        <v>274</v>
      </c>
      <c r="R3" s="66" t="s">
        <v>275</v>
      </c>
      <c r="S3" s="66" t="s">
        <v>276</v>
      </c>
      <c r="T3" s="66" t="s">
        <v>277</v>
      </c>
      <c r="U3" s="66" t="s">
        <v>278</v>
      </c>
      <c r="V3" s="66" t="s">
        <v>280</v>
      </c>
      <c r="W3" s="66" t="s">
        <v>279</v>
      </c>
      <c r="X3" s="5"/>
      <c r="Y3" s="5"/>
    </row>
    <row r="4" spans="1:25" s="9" customFormat="1" ht="20.149999999999999" customHeight="1">
      <c r="A4" s="39" t="s">
        <v>17</v>
      </c>
      <c r="B4" s="39" t="s">
        <v>185</v>
      </c>
      <c r="C4" s="39" t="s">
        <v>186</v>
      </c>
      <c r="D4" s="39" t="s">
        <v>187</v>
      </c>
      <c r="E4" s="64">
        <v>1144.5217050000001</v>
      </c>
      <c r="F4" s="64">
        <v>0</v>
      </c>
      <c r="G4" s="57">
        <v>2346531.6851434857</v>
      </c>
      <c r="H4" s="57">
        <v>1438584.0609860001</v>
      </c>
      <c r="I4" s="57">
        <f>G4+H4</f>
        <v>3785115.7461294858</v>
      </c>
      <c r="J4" s="57">
        <f>IF(E4=0,0,I4/E4)</f>
        <v>3307.1594270285032</v>
      </c>
      <c r="K4" s="57">
        <v>3784270.85</v>
      </c>
      <c r="L4" s="45">
        <v>3306.421218110494</v>
      </c>
      <c r="M4" s="45">
        <v>221275.34</v>
      </c>
      <c r="N4" s="45">
        <f t="shared" ref="N4:N5" si="0">MIN(I4-M4,K4-M4)</f>
        <v>3562995.5100000002</v>
      </c>
      <c r="O4" s="45">
        <f>IF(E4=0,0,N4/E4)</f>
        <v>3113.0868854951073</v>
      </c>
      <c r="P4" s="45">
        <f>O4*0.0925</f>
        <v>287.9605369082974</v>
      </c>
      <c r="Q4" s="45">
        <f>O4-P4</f>
        <v>2825.1263485868099</v>
      </c>
      <c r="R4" s="45">
        <f>P4*E4</f>
        <v>329577.08467499999</v>
      </c>
      <c r="S4" s="45">
        <f>Q4*E4</f>
        <v>3233418.4253250002</v>
      </c>
      <c r="T4" s="47">
        <v>1</v>
      </c>
      <c r="U4" s="45">
        <f>ROUND(T4*R4,6)</f>
        <v>329577.08467499999</v>
      </c>
      <c r="V4" s="45">
        <f>ROUND(S4,6)</f>
        <v>3233418.4253250002</v>
      </c>
      <c r="W4" s="45">
        <f>SUM(U4:V4)</f>
        <v>3562995.5100000002</v>
      </c>
      <c r="X4" s="10">
        <f>W4-(K4-M4)</f>
        <v>0</v>
      </c>
      <c r="Y4" s="5"/>
    </row>
    <row r="5" spans="1:25" s="9" customFormat="1" ht="20.149999999999999" customHeight="1">
      <c r="A5" s="39" t="s">
        <v>17</v>
      </c>
      <c r="B5" s="39" t="s">
        <v>188</v>
      </c>
      <c r="C5" s="39" t="s">
        <v>189</v>
      </c>
      <c r="D5" s="39" t="s">
        <v>190</v>
      </c>
      <c r="E5" s="64">
        <v>52300.252252999999</v>
      </c>
      <c r="F5" s="64">
        <v>140834</v>
      </c>
      <c r="G5" s="57">
        <v>15127795.716228001</v>
      </c>
      <c r="H5" s="57">
        <v>51739438.571723998</v>
      </c>
      <c r="I5" s="57">
        <f t="shared" ref="I5:I15" si="1">G5+H5</f>
        <v>66867234.287951998</v>
      </c>
      <c r="J5" s="57">
        <f t="shared" ref="J5:J15" si="2">IF(E5=0,0,I5/E5)</f>
        <v>1278.5260377805621</v>
      </c>
      <c r="K5" s="57">
        <v>66867212.469999999</v>
      </c>
      <c r="L5" s="45">
        <v>1278.5256206133197</v>
      </c>
      <c r="M5" s="45">
        <v>10921.62</v>
      </c>
      <c r="N5" s="45">
        <f t="shared" si="0"/>
        <v>66856290.850000001</v>
      </c>
      <c r="O5" s="45">
        <f>IF(E5=0,0,N5/E5)</f>
        <v>1278.3167952342917</v>
      </c>
      <c r="P5" s="45">
        <f t="shared" ref="P5:P15" si="3">O5*0.0925</f>
        <v>118.24430355917198</v>
      </c>
      <c r="Q5" s="45">
        <f t="shared" ref="Q5:Q15" si="4">O5-P5</f>
        <v>1160.0724916751196</v>
      </c>
      <c r="R5" s="45">
        <f t="shared" ref="R5:R15" si="5">P5*E5</f>
        <v>6184206.9036250003</v>
      </c>
      <c r="S5" s="45">
        <f t="shared" ref="S5:S15" si="6">Q5*E5</f>
        <v>60672083.946374997</v>
      </c>
      <c r="T5" s="47">
        <v>1</v>
      </c>
      <c r="U5" s="45">
        <f t="shared" ref="U5:U15" si="7">ROUND(T5*R5,6)</f>
        <v>6184206.9036250003</v>
      </c>
      <c r="V5" s="45">
        <f t="shared" ref="V5:V16" si="8">ROUND(S5,6)</f>
        <v>60672083.946374997</v>
      </c>
      <c r="W5" s="45">
        <f t="shared" ref="W5:W15" si="9">SUM(U5:V5)</f>
        <v>66856290.849999994</v>
      </c>
      <c r="X5" s="10">
        <f t="shared" ref="X5:X15" si="10">W5-(K5-M5)</f>
        <v>0</v>
      </c>
      <c r="Y5" s="5"/>
    </row>
    <row r="6" spans="1:25" s="9" customFormat="1" ht="20.149999999999999" customHeight="1">
      <c r="A6" s="39" t="s">
        <v>17</v>
      </c>
      <c r="B6" s="39" t="s">
        <v>191</v>
      </c>
      <c r="C6" s="39" t="s">
        <v>192</v>
      </c>
      <c r="D6" s="39" t="s">
        <v>193</v>
      </c>
      <c r="E6" s="64">
        <v>1480.94373</v>
      </c>
      <c r="F6" s="64">
        <v>0</v>
      </c>
      <c r="G6" s="57">
        <v>0</v>
      </c>
      <c r="H6" s="57">
        <v>4430944.4930105833</v>
      </c>
      <c r="I6" s="57">
        <f t="shared" si="1"/>
        <v>4430944.4930105833</v>
      </c>
      <c r="J6" s="57">
        <f t="shared" si="2"/>
        <v>2991.9735660790998</v>
      </c>
      <c r="K6" s="57">
        <v>2339542.86</v>
      </c>
      <c r="L6" s="45">
        <v>1579.7648571023019</v>
      </c>
      <c r="M6" s="45">
        <v>1341307.26</v>
      </c>
      <c r="N6" s="45">
        <f>MIN(I6-M6,K6-M6)</f>
        <v>998235.59999999986</v>
      </c>
      <c r="O6" s="45">
        <f>IF(E6=0,0,N6/E6)</f>
        <v>674.05369952847559</v>
      </c>
      <c r="P6" s="45">
        <f t="shared" si="3"/>
        <v>62.349967206383994</v>
      </c>
      <c r="Q6" s="45">
        <f>O6-P6</f>
        <v>611.70373232209158</v>
      </c>
      <c r="R6" s="45">
        <f t="shared" si="5"/>
        <v>92336.792999999991</v>
      </c>
      <c r="S6" s="45">
        <f>Q6*E6</f>
        <v>905898.8069999998</v>
      </c>
      <c r="T6" s="47">
        <v>1</v>
      </c>
      <c r="U6" s="45">
        <f t="shared" si="7"/>
        <v>92336.793000000005</v>
      </c>
      <c r="V6" s="45">
        <f>ROUND(S6,6)</f>
        <v>905898.80700000003</v>
      </c>
      <c r="W6" s="45">
        <f t="shared" si="9"/>
        <v>998235.60000000009</v>
      </c>
      <c r="X6" s="10">
        <f>W6-(K6-M6)</f>
        <v>0</v>
      </c>
      <c r="Y6" s="5"/>
    </row>
    <row r="7" spans="1:25" s="9" customFormat="1" ht="20.149999999999999" customHeight="1">
      <c r="A7" s="39" t="s">
        <v>17</v>
      </c>
      <c r="B7" s="39" t="s">
        <v>191</v>
      </c>
      <c r="C7" s="39" t="s">
        <v>194</v>
      </c>
      <c r="D7" s="39" t="s">
        <v>195</v>
      </c>
      <c r="E7" s="64">
        <v>0</v>
      </c>
      <c r="F7" s="64">
        <v>0</v>
      </c>
      <c r="G7" s="57">
        <v>0</v>
      </c>
      <c r="H7" s="57">
        <v>0</v>
      </c>
      <c r="I7" s="57">
        <f t="shared" si="1"/>
        <v>0</v>
      </c>
      <c r="J7" s="57">
        <f t="shared" si="2"/>
        <v>0</v>
      </c>
      <c r="K7" s="57">
        <v>0</v>
      </c>
      <c r="L7" s="45">
        <v>0</v>
      </c>
      <c r="M7" s="45">
        <v>0</v>
      </c>
      <c r="N7" s="45">
        <f t="shared" ref="N7:N15" si="11">MIN(I7-M7,K7-M7)</f>
        <v>0</v>
      </c>
      <c r="O7" s="45">
        <f t="shared" ref="O7:O15" si="12">IF(E7=0,0,N7/E7)</f>
        <v>0</v>
      </c>
      <c r="P7" s="45">
        <f t="shared" si="3"/>
        <v>0</v>
      </c>
      <c r="Q7" s="45">
        <f t="shared" si="4"/>
        <v>0</v>
      </c>
      <c r="R7" s="45">
        <f t="shared" si="5"/>
        <v>0</v>
      </c>
      <c r="S7" s="45">
        <f t="shared" si="6"/>
        <v>0</v>
      </c>
      <c r="T7" s="47">
        <v>1</v>
      </c>
      <c r="U7" s="45">
        <f t="shared" si="7"/>
        <v>0</v>
      </c>
      <c r="V7" s="45">
        <f t="shared" si="8"/>
        <v>0</v>
      </c>
      <c r="W7" s="45">
        <f t="shared" si="9"/>
        <v>0</v>
      </c>
      <c r="X7" s="10">
        <f t="shared" si="10"/>
        <v>0</v>
      </c>
      <c r="Y7" s="5"/>
    </row>
    <row r="8" spans="1:25" s="9" customFormat="1" ht="20.149999999999999" customHeight="1">
      <c r="A8" s="39" t="s">
        <v>17</v>
      </c>
      <c r="B8" s="39" t="s">
        <v>196</v>
      </c>
      <c r="C8" s="39" t="s">
        <v>197</v>
      </c>
      <c r="D8" s="39" t="s">
        <v>198</v>
      </c>
      <c r="E8" s="64">
        <v>2052.9048379999999</v>
      </c>
      <c r="F8" s="64">
        <v>0</v>
      </c>
      <c r="G8" s="57">
        <v>3207804.1132518789</v>
      </c>
      <c r="H8" s="57">
        <v>1532277.956151</v>
      </c>
      <c r="I8" s="57">
        <f t="shared" si="1"/>
        <v>4740082.0694028791</v>
      </c>
      <c r="J8" s="57">
        <f t="shared" si="2"/>
        <v>2308.9633682293847</v>
      </c>
      <c r="K8" s="57">
        <v>4703595.37</v>
      </c>
      <c r="L8" s="45">
        <v>2291.190162804809</v>
      </c>
      <c r="M8" s="45">
        <v>211250.37</v>
      </c>
      <c r="N8" s="45">
        <f t="shared" si="11"/>
        <v>4492345</v>
      </c>
      <c r="O8" s="45">
        <f t="shared" si="12"/>
        <v>2188.287014987297</v>
      </c>
      <c r="P8" s="45">
        <f t="shared" si="3"/>
        <v>202.41654888632496</v>
      </c>
      <c r="Q8" s="45">
        <f t="shared" si="4"/>
        <v>1985.870466100972</v>
      </c>
      <c r="R8" s="45">
        <f t="shared" si="5"/>
        <v>415541.91250000003</v>
      </c>
      <c r="S8" s="45">
        <f t="shared" si="6"/>
        <v>4076803.0875000004</v>
      </c>
      <c r="T8" s="47">
        <v>1</v>
      </c>
      <c r="U8" s="45">
        <f t="shared" si="7"/>
        <v>415541.91249999998</v>
      </c>
      <c r="V8" s="45">
        <f t="shared" si="8"/>
        <v>4076803.0874999999</v>
      </c>
      <c r="W8" s="45">
        <f t="shared" si="9"/>
        <v>4492345</v>
      </c>
      <c r="X8" s="10">
        <f t="shared" si="10"/>
        <v>0</v>
      </c>
      <c r="Y8" s="5"/>
    </row>
    <row r="9" spans="1:25" s="9" customFormat="1" ht="20.149999999999999" customHeight="1">
      <c r="A9" s="39" t="s">
        <v>17</v>
      </c>
      <c r="B9" s="39" t="s">
        <v>199</v>
      </c>
      <c r="C9" s="39" t="s">
        <v>200</v>
      </c>
      <c r="D9" s="39" t="s">
        <v>201</v>
      </c>
      <c r="E9" s="64">
        <v>4016.3031620000002</v>
      </c>
      <c r="F9" s="64">
        <v>10000</v>
      </c>
      <c r="G9" s="57">
        <v>544599.29968499998</v>
      </c>
      <c r="H9" s="57">
        <v>4078448.0726449997</v>
      </c>
      <c r="I9" s="57">
        <f t="shared" si="1"/>
        <v>4623047.3723299997</v>
      </c>
      <c r="J9" s="57">
        <f t="shared" si="2"/>
        <v>1151.0703216008869</v>
      </c>
      <c r="K9" s="57">
        <v>4623047.37</v>
      </c>
      <c r="L9" s="45">
        <v>1151.0703387899184</v>
      </c>
      <c r="M9" s="45">
        <v>32238.68</v>
      </c>
      <c r="N9" s="45">
        <f t="shared" si="11"/>
        <v>4590808.6900000004</v>
      </c>
      <c r="O9" s="45">
        <f>ROUND(IF(E9=0,0,N9/E9),6)</f>
        <v>1143.043367</v>
      </c>
      <c r="P9" s="45">
        <f>ROUND(O9*0.0925,6)</f>
        <v>105.731511</v>
      </c>
      <c r="Q9" s="65">
        <f t="shared" si="4"/>
        <v>1037.311856</v>
      </c>
      <c r="R9" s="45">
        <f t="shared" si="5"/>
        <v>424649.80195233779</v>
      </c>
      <c r="S9" s="45">
        <f t="shared" si="6"/>
        <v>4166158.887232889</v>
      </c>
      <c r="T9" s="47">
        <v>1</v>
      </c>
      <c r="U9" s="45">
        <f t="shared" si="7"/>
        <v>424649.80195200001</v>
      </c>
      <c r="V9" s="45">
        <f t="shared" si="8"/>
        <v>4166158.8872329998</v>
      </c>
      <c r="W9" s="45">
        <f t="shared" si="9"/>
        <v>4590808.689185</v>
      </c>
      <c r="X9" s="10">
        <f t="shared" si="10"/>
        <v>-8.1500038504600525E-4</v>
      </c>
      <c r="Y9" s="5"/>
    </row>
    <row r="10" spans="1:25" s="9" customFormat="1" ht="20.149999999999999" customHeight="1">
      <c r="A10" s="39" t="s">
        <v>17</v>
      </c>
      <c r="B10" s="39" t="s">
        <v>202</v>
      </c>
      <c r="C10" s="39" t="s">
        <v>203</v>
      </c>
      <c r="D10" s="39" t="s">
        <v>204</v>
      </c>
      <c r="E10" s="64">
        <v>4027.6969079999999</v>
      </c>
      <c r="F10" s="64">
        <v>10000</v>
      </c>
      <c r="G10" s="57">
        <v>550930.70595199999</v>
      </c>
      <c r="H10" s="57">
        <v>4078448.0726449997</v>
      </c>
      <c r="I10" s="57">
        <f t="shared" si="1"/>
        <v>4629378.7785970001</v>
      </c>
      <c r="J10" s="57">
        <f t="shared" si="2"/>
        <v>1149.3860844896028</v>
      </c>
      <c r="K10" s="57">
        <v>4629378.78</v>
      </c>
      <c r="L10" s="45">
        <v>1149.3861156579612</v>
      </c>
      <c r="M10" s="45">
        <v>19963.13</v>
      </c>
      <c r="N10" s="45">
        <f t="shared" si="11"/>
        <v>4609415.6485970002</v>
      </c>
      <c r="O10" s="45">
        <f t="shared" si="12"/>
        <v>1144.429621663329</v>
      </c>
      <c r="P10" s="45">
        <f t="shared" si="3"/>
        <v>105.85974000385794</v>
      </c>
      <c r="Q10" s="45">
        <f t="shared" si="4"/>
        <v>1038.5698816594711</v>
      </c>
      <c r="R10" s="45">
        <f t="shared" si="5"/>
        <v>426370.9474952225</v>
      </c>
      <c r="S10" s="45">
        <f t="shared" si="6"/>
        <v>4183044.7011017776</v>
      </c>
      <c r="T10" s="47">
        <v>1</v>
      </c>
      <c r="U10" s="45">
        <f t="shared" si="7"/>
        <v>426370.94749499997</v>
      </c>
      <c r="V10" s="45">
        <f t="shared" si="8"/>
        <v>4183044.7011020002</v>
      </c>
      <c r="W10" s="45">
        <f t="shared" si="9"/>
        <v>4609415.6485970002</v>
      </c>
      <c r="X10" s="10">
        <f t="shared" si="10"/>
        <v>-1.4030002057552338E-3</v>
      </c>
      <c r="Y10" s="5"/>
    </row>
    <row r="11" spans="1:25" s="9" customFormat="1" ht="20.149999999999999" customHeight="1">
      <c r="A11" s="39" t="s">
        <v>17</v>
      </c>
      <c r="B11" s="39" t="s">
        <v>205</v>
      </c>
      <c r="C11" s="39" t="s">
        <v>206</v>
      </c>
      <c r="D11" s="39" t="s">
        <v>207</v>
      </c>
      <c r="E11" s="64">
        <v>4099.9492039999996</v>
      </c>
      <c r="F11" s="64">
        <v>10000</v>
      </c>
      <c r="G11" s="57">
        <v>591080.68294099998</v>
      </c>
      <c r="H11" s="57">
        <v>3802929.2903</v>
      </c>
      <c r="I11" s="57">
        <f t="shared" si="1"/>
        <v>4394009.9732409995</v>
      </c>
      <c r="J11" s="57">
        <f t="shared" si="2"/>
        <v>1071.7230274350979</v>
      </c>
      <c r="K11" s="57">
        <v>4391984.05</v>
      </c>
      <c r="L11" s="45">
        <v>1072.1823381584074</v>
      </c>
      <c r="M11" s="45">
        <v>71438.289999999994</v>
      </c>
      <c r="N11" s="45">
        <f t="shared" si="11"/>
        <v>4320545.76</v>
      </c>
      <c r="O11" s="45">
        <f t="shared" si="12"/>
        <v>1053.8047046497018</v>
      </c>
      <c r="P11" s="45">
        <f t="shared" si="3"/>
        <v>97.476935180097414</v>
      </c>
      <c r="Q11" s="45">
        <f t="shared" si="4"/>
        <v>956.32776946960439</v>
      </c>
      <c r="R11" s="45">
        <f t="shared" si="5"/>
        <v>399650.48279999994</v>
      </c>
      <c r="S11" s="45">
        <f t="shared" si="6"/>
        <v>3920895.2771999994</v>
      </c>
      <c r="T11" s="47">
        <v>1</v>
      </c>
      <c r="U11" s="45">
        <f t="shared" si="7"/>
        <v>399650.4828</v>
      </c>
      <c r="V11" s="45">
        <f t="shared" si="8"/>
        <v>3920895.2771999999</v>
      </c>
      <c r="W11" s="45">
        <f t="shared" si="9"/>
        <v>4320545.76</v>
      </c>
      <c r="X11" s="10">
        <f t="shared" si="10"/>
        <v>0</v>
      </c>
      <c r="Y11" s="5"/>
    </row>
    <row r="12" spans="1:25" s="9" customFormat="1" ht="20.149999999999999" customHeight="1">
      <c r="A12" s="39" t="s">
        <v>17</v>
      </c>
      <c r="B12" s="39" t="s">
        <v>208</v>
      </c>
      <c r="C12" s="39" t="s">
        <v>209</v>
      </c>
      <c r="D12" s="39" t="s">
        <v>210</v>
      </c>
      <c r="E12" s="64">
        <v>4072.971904</v>
      </c>
      <c r="F12" s="64">
        <v>10000</v>
      </c>
      <c r="G12" s="57">
        <v>576089.63028000004</v>
      </c>
      <c r="H12" s="57">
        <v>3802929.2903</v>
      </c>
      <c r="I12" s="57">
        <f t="shared" ref="I12" si="13">G12+H12</f>
        <v>4379018.9205799997</v>
      </c>
      <c r="J12" s="57">
        <f t="shared" ref="J12" si="14">IF(E12=0,0,I12/E12)</f>
        <v>1075.140959425582</v>
      </c>
      <c r="K12" s="57">
        <v>4377006.33</v>
      </c>
      <c r="L12" s="45">
        <v>1075.6033101109515</v>
      </c>
      <c r="M12" s="45">
        <v>80063.649999999994</v>
      </c>
      <c r="N12" s="45">
        <f t="shared" si="11"/>
        <v>4296942.68</v>
      </c>
      <c r="O12" s="45">
        <f t="shared" ref="O12" si="15">IF(E12=0,0,N12/E12)</f>
        <v>1054.9895214793999</v>
      </c>
      <c r="P12" s="45">
        <f t="shared" ref="P12" si="16">O12*0.0925</f>
        <v>97.58653073684448</v>
      </c>
      <c r="Q12" s="45">
        <f t="shared" ref="Q12" si="17">O12-P12</f>
        <v>957.4029907425554</v>
      </c>
      <c r="R12" s="45">
        <f t="shared" ref="R12" si="18">P12*E12</f>
        <v>397467.19789999997</v>
      </c>
      <c r="S12" s="45">
        <f t="shared" ref="S12" si="19">Q12*E12</f>
        <v>3899475.4821000001</v>
      </c>
      <c r="T12" s="47">
        <v>1</v>
      </c>
      <c r="U12" s="45">
        <f t="shared" ref="U12" si="20">ROUND(T12*R12,6)</f>
        <v>397467.19790000003</v>
      </c>
      <c r="V12" s="45">
        <f t="shared" ref="V12" si="21">ROUND(S12,6)</f>
        <v>3899475.4821000001</v>
      </c>
      <c r="W12" s="45">
        <f t="shared" ref="W12" si="22">SUM(U12:V12)</f>
        <v>4296942.68</v>
      </c>
      <c r="X12" s="10">
        <f t="shared" si="10"/>
        <v>0</v>
      </c>
      <c r="Y12" s="5"/>
    </row>
    <row r="13" spans="1:25" s="9" customFormat="1" ht="20.149999999999999" customHeight="1">
      <c r="A13" s="39" t="s">
        <v>17</v>
      </c>
      <c r="B13" s="39" t="s">
        <v>286</v>
      </c>
      <c r="C13" s="39" t="s">
        <v>282</v>
      </c>
      <c r="D13" s="39" t="s">
        <v>283</v>
      </c>
      <c r="E13" s="64">
        <v>1250.220368</v>
      </c>
      <c r="F13" s="87">
        <v>3.0649999999999999</v>
      </c>
      <c r="G13" s="57">
        <v>1858471.2934713971</v>
      </c>
      <c r="H13" s="57">
        <v>293890.20213599998</v>
      </c>
      <c r="I13" s="57">
        <f t="shared" ref="I13:I14" si="23">G13+H13</f>
        <v>2152361.4956073971</v>
      </c>
      <c r="J13" s="57">
        <f t="shared" ref="J13:J14" si="24">IF(E13=0,0,I13/E13)</f>
        <v>1721.58569056955</v>
      </c>
      <c r="K13" s="57">
        <v>2152361.29</v>
      </c>
      <c r="L13" s="45">
        <v>1721.5855261126253</v>
      </c>
      <c r="M13" s="45">
        <v>2685.22</v>
      </c>
      <c r="N13" s="45">
        <f>MIN(I13-M13,K13-M13)</f>
        <v>2149676.0699999998</v>
      </c>
      <c r="O13" s="45">
        <f t="shared" ref="O13:O14" si="25">IF(E13=0,0,N13/E13)</f>
        <v>1719.4377287572713</v>
      </c>
      <c r="P13" s="45">
        <f t="shared" ref="P13:P14" si="26">O13*0.0925</f>
        <v>159.04798991004759</v>
      </c>
      <c r="Q13" s="45">
        <f t="shared" ref="Q13:Q14" si="27">O13-P13</f>
        <v>1560.3897388472237</v>
      </c>
      <c r="R13" s="45">
        <f t="shared" ref="R13:R14" si="28">P13*E13</f>
        <v>198845.036475</v>
      </c>
      <c r="S13" s="45">
        <f t="shared" ref="S13:S14" si="29">Q13*E13</f>
        <v>1950831.0335249999</v>
      </c>
      <c r="T13" s="47">
        <v>1</v>
      </c>
      <c r="U13" s="45">
        <f t="shared" ref="U13:U14" si="30">ROUND(T13*R13,6)</f>
        <v>198845.036475</v>
      </c>
      <c r="V13" s="45">
        <f t="shared" ref="V13:V14" si="31">ROUND(S13,6)</f>
        <v>1950831.0335250001</v>
      </c>
      <c r="W13" s="45">
        <f t="shared" ref="W13:W14" si="32">SUM(U13:V13)</f>
        <v>2149676.0700000003</v>
      </c>
      <c r="X13" s="10">
        <f t="shared" si="10"/>
        <v>0</v>
      </c>
      <c r="Y13" s="5"/>
    </row>
    <row r="14" spans="1:25" s="9" customFormat="1" ht="20.149999999999999" customHeight="1">
      <c r="A14" s="39" t="s">
        <v>17</v>
      </c>
      <c r="B14" s="39" t="s">
        <v>286</v>
      </c>
      <c r="C14" s="39" t="s">
        <v>284</v>
      </c>
      <c r="D14" s="39" t="s">
        <v>285</v>
      </c>
      <c r="E14" s="64">
        <v>1199.9562109999999</v>
      </c>
      <c r="F14" s="87">
        <v>2.44</v>
      </c>
      <c r="G14" s="57">
        <v>1775102.9899597843</v>
      </c>
      <c r="H14" s="57">
        <v>233961.53122800001</v>
      </c>
      <c r="I14" s="57">
        <f t="shared" si="23"/>
        <v>2009064.5211877844</v>
      </c>
      <c r="J14" s="57">
        <f t="shared" si="24"/>
        <v>1674.2815302514273</v>
      </c>
      <c r="K14" s="57">
        <v>2009064.31</v>
      </c>
      <c r="L14" s="45">
        <v>1674.2813542551846</v>
      </c>
      <c r="M14" s="45">
        <v>847.69</v>
      </c>
      <c r="N14" s="45">
        <f t="shared" si="11"/>
        <v>2008216.62</v>
      </c>
      <c r="O14" s="45">
        <f t="shared" si="25"/>
        <v>1673.5749201434819</v>
      </c>
      <c r="P14" s="45">
        <f t="shared" si="26"/>
        <v>154.80568011327208</v>
      </c>
      <c r="Q14" s="45">
        <f t="shared" si="27"/>
        <v>1518.7692400302099</v>
      </c>
      <c r="R14" s="45">
        <f t="shared" si="28"/>
        <v>185760.03735</v>
      </c>
      <c r="S14" s="45">
        <f t="shared" si="29"/>
        <v>1822456.58265</v>
      </c>
      <c r="T14" s="47">
        <v>1</v>
      </c>
      <c r="U14" s="45">
        <f t="shared" si="30"/>
        <v>185760.03735</v>
      </c>
      <c r="V14" s="45">
        <f t="shared" si="31"/>
        <v>1822456.58265</v>
      </c>
      <c r="W14" s="45">
        <f t="shared" si="32"/>
        <v>2008216.62</v>
      </c>
      <c r="X14" s="10">
        <f t="shared" si="10"/>
        <v>0</v>
      </c>
      <c r="Y14" s="5"/>
    </row>
    <row r="15" spans="1:25" s="9" customFormat="1" ht="20.149999999999999" customHeight="1">
      <c r="A15" s="39" t="s">
        <v>17</v>
      </c>
      <c r="B15" s="39" t="s">
        <v>286</v>
      </c>
      <c r="C15" s="39" t="s">
        <v>289</v>
      </c>
      <c r="D15" s="39" t="s">
        <v>290</v>
      </c>
      <c r="E15" s="64">
        <v>400.49661200000003</v>
      </c>
      <c r="F15" s="87">
        <v>0.89500000000000002</v>
      </c>
      <c r="G15" s="57">
        <v>612666.08294405334</v>
      </c>
      <c r="H15" s="57">
        <v>85817.856740999996</v>
      </c>
      <c r="I15" s="57">
        <f t="shared" si="1"/>
        <v>698483.93968505331</v>
      </c>
      <c r="J15" s="57">
        <f t="shared" si="2"/>
        <v>1744.0445655631495</v>
      </c>
      <c r="K15" s="57">
        <v>698483.91</v>
      </c>
      <c r="L15" s="45">
        <v>1744.0444914425393</v>
      </c>
      <c r="M15" s="45">
        <v>453.73</v>
      </c>
      <c r="N15" s="45">
        <f t="shared" si="11"/>
        <v>698030.18</v>
      </c>
      <c r="O15" s="45">
        <f t="shared" si="12"/>
        <v>1742.9115729947798</v>
      </c>
      <c r="P15" s="45">
        <f t="shared" si="3"/>
        <v>161.21932050201713</v>
      </c>
      <c r="Q15" s="45">
        <f t="shared" si="4"/>
        <v>1581.6922524927627</v>
      </c>
      <c r="R15" s="45">
        <f t="shared" si="5"/>
        <v>64567.791649999999</v>
      </c>
      <c r="S15" s="45">
        <f t="shared" si="6"/>
        <v>633462.38835000002</v>
      </c>
      <c r="T15" s="47">
        <v>1</v>
      </c>
      <c r="U15" s="45">
        <f t="shared" si="7"/>
        <v>64567.791649999999</v>
      </c>
      <c r="V15" s="45">
        <f t="shared" si="8"/>
        <v>633462.38835000002</v>
      </c>
      <c r="W15" s="45">
        <f t="shared" si="9"/>
        <v>698030.18</v>
      </c>
      <c r="X15" s="10">
        <f t="shared" si="10"/>
        <v>0</v>
      </c>
      <c r="Y15" s="5"/>
    </row>
    <row r="16" spans="1:25" ht="19.5" customHeight="1">
      <c r="E16" s="68">
        <f>SUM(E4:E15)</f>
        <v>76046.216895000005</v>
      </c>
      <c r="F16" s="69"/>
      <c r="G16" s="69"/>
      <c r="H16" s="69"/>
      <c r="I16" s="70"/>
      <c r="J16" s="69"/>
      <c r="K16" s="84"/>
      <c r="L16" s="69"/>
      <c r="M16" s="84"/>
      <c r="N16" s="84"/>
      <c r="O16" s="69"/>
      <c r="P16" s="69"/>
      <c r="Q16" s="69"/>
      <c r="R16" s="69"/>
      <c r="S16" s="69"/>
      <c r="T16" s="69"/>
      <c r="U16" s="69"/>
      <c r="V16" s="69">
        <f t="shared" si="8"/>
        <v>0</v>
      </c>
      <c r="W16" s="71">
        <f>SUM(W4:W15)</f>
        <v>98583502.607782006</v>
      </c>
    </row>
    <row r="18" spans="1:25" ht="19.5" customHeight="1">
      <c r="A18" s="67" t="s">
        <v>281</v>
      </c>
    </row>
    <row r="19" spans="1:25" s="9" customFormat="1" ht="60" customHeight="1">
      <c r="A19" s="59" t="s">
        <v>216</v>
      </c>
      <c r="B19" s="59" t="s">
        <v>184</v>
      </c>
      <c r="C19" s="59" t="s">
        <v>4</v>
      </c>
      <c r="D19" s="59" t="s">
        <v>217</v>
      </c>
      <c r="E19" s="59" t="s">
        <v>252</v>
      </c>
      <c r="F19" s="59" t="s">
        <v>264</v>
      </c>
      <c r="G19" s="59" t="s">
        <v>265</v>
      </c>
      <c r="H19" s="59" t="s">
        <v>266</v>
      </c>
      <c r="I19" s="59" t="s">
        <v>267</v>
      </c>
      <c r="J19" s="59" t="s">
        <v>268</v>
      </c>
      <c r="K19" s="59" t="s">
        <v>269</v>
      </c>
      <c r="L19" s="66" t="s">
        <v>270</v>
      </c>
      <c r="M19" s="66" t="s">
        <v>271</v>
      </c>
      <c r="N19" s="66" t="s">
        <v>213</v>
      </c>
      <c r="O19" s="66" t="s">
        <v>272</v>
      </c>
      <c r="P19" s="66" t="s">
        <v>273</v>
      </c>
      <c r="Q19" s="66" t="s">
        <v>274</v>
      </c>
      <c r="R19" s="66" t="s">
        <v>275</v>
      </c>
      <c r="S19" s="66" t="s">
        <v>276</v>
      </c>
      <c r="T19" s="66" t="s">
        <v>277</v>
      </c>
      <c r="U19" s="66" t="s">
        <v>278</v>
      </c>
      <c r="V19" s="66" t="s">
        <v>280</v>
      </c>
      <c r="W19" s="66" t="s">
        <v>279</v>
      </c>
      <c r="X19" s="5"/>
      <c r="Y19" s="5"/>
    </row>
    <row r="20" spans="1:25" s="9" customFormat="1" ht="20.149999999999999" customHeight="1">
      <c r="A20" s="39" t="s">
        <v>17</v>
      </c>
      <c r="B20" s="39" t="s">
        <v>185</v>
      </c>
      <c r="C20" s="39" t="s">
        <v>186</v>
      </c>
      <c r="D20" s="39" t="s">
        <v>187</v>
      </c>
      <c r="E20" s="64">
        <v>901.45771100000002</v>
      </c>
      <c r="F20" s="64">
        <v>42.25</v>
      </c>
      <c r="G20" s="57">
        <v>2346531.6851434857</v>
      </c>
      <c r="H20" s="57">
        <v>1438584.0609860001</v>
      </c>
      <c r="I20" s="57">
        <f t="shared" ref="I20:I30" si="33">G20+H20</f>
        <v>3785115.7461294858</v>
      </c>
      <c r="J20" s="57">
        <f t="shared" ref="J20:J30" si="34">IF(E20=0,0,I20/E20)</f>
        <v>4198.8833196962751</v>
      </c>
      <c r="K20" s="57">
        <v>134979.53</v>
      </c>
      <c r="L20" s="57">
        <f>K20/E20</f>
        <v>149.73473336898439</v>
      </c>
      <c r="M20" s="45">
        <v>0</v>
      </c>
      <c r="N20" s="45">
        <f>K20</f>
        <v>134979.53</v>
      </c>
      <c r="O20" s="45">
        <f>L20</f>
        <v>149.73473336898439</v>
      </c>
      <c r="P20" s="45">
        <f t="shared" ref="P20:P28" si="35">O20*0.0925</f>
        <v>13.850462836631056</v>
      </c>
      <c r="Q20" s="45">
        <f t="shared" ref="Q20:Q28" si="36">O20-P20</f>
        <v>135.88427053235333</v>
      </c>
      <c r="R20" s="45">
        <f t="shared" ref="R20:R28" si="37">P20*E20</f>
        <v>12485.606524999999</v>
      </c>
      <c r="S20" s="45">
        <f t="shared" ref="S20:S28" si="38">Q20*E20</f>
        <v>122493.92347499999</v>
      </c>
      <c r="T20" s="47">
        <v>1</v>
      </c>
      <c r="U20" s="45">
        <f t="shared" ref="U20:U28" si="39">ROUND(T20*R20,6)</f>
        <v>12485.606524999999</v>
      </c>
      <c r="V20" s="45">
        <f t="shared" ref="V20:V28" si="40">ROUND(S20,6)</f>
        <v>122493.923475</v>
      </c>
      <c r="W20" s="45">
        <f t="shared" ref="W20:W28" si="41">SUM(U20:V20)</f>
        <v>134979.53</v>
      </c>
      <c r="X20" s="5"/>
      <c r="Y20" s="5"/>
    </row>
    <row r="21" spans="1:25" s="9" customFormat="1" ht="20.149999999999999" customHeight="1">
      <c r="A21" s="39" t="s">
        <v>17</v>
      </c>
      <c r="B21" s="39" t="s">
        <v>188</v>
      </c>
      <c r="C21" s="39" t="s">
        <v>189</v>
      </c>
      <c r="D21" s="39" t="s">
        <v>190</v>
      </c>
      <c r="E21" s="64">
        <v>62108.190954000005</v>
      </c>
      <c r="F21" s="64">
        <v>140.834</v>
      </c>
      <c r="G21" s="57">
        <v>15127795.716228001</v>
      </c>
      <c r="H21" s="57">
        <v>51739438.571723998</v>
      </c>
      <c r="I21" s="57">
        <f t="shared" si="33"/>
        <v>66867234.287951998</v>
      </c>
      <c r="J21" s="57">
        <f t="shared" si="34"/>
        <v>1076.6250515568349</v>
      </c>
      <c r="K21" s="57">
        <v>0</v>
      </c>
      <c r="L21" s="57">
        <f>K21/E21</f>
        <v>0</v>
      </c>
      <c r="M21" s="45">
        <v>0</v>
      </c>
      <c r="N21" s="45">
        <f t="shared" ref="N21:N28" si="42">K21</f>
        <v>0</v>
      </c>
      <c r="O21" s="45">
        <f t="shared" ref="O21:O28" si="43">L21</f>
        <v>0</v>
      </c>
      <c r="P21" s="45">
        <f t="shared" si="35"/>
        <v>0</v>
      </c>
      <c r="Q21" s="45">
        <f t="shared" si="36"/>
        <v>0</v>
      </c>
      <c r="R21" s="45">
        <f t="shared" si="37"/>
        <v>0</v>
      </c>
      <c r="S21" s="45">
        <f t="shared" si="38"/>
        <v>0</v>
      </c>
      <c r="T21" s="47">
        <v>1</v>
      </c>
      <c r="U21" s="45">
        <f t="shared" si="39"/>
        <v>0</v>
      </c>
      <c r="V21" s="45">
        <f t="shared" si="40"/>
        <v>0</v>
      </c>
      <c r="W21" s="45">
        <f t="shared" si="41"/>
        <v>0</v>
      </c>
      <c r="X21" s="5"/>
      <c r="Y21" s="5"/>
    </row>
    <row r="22" spans="1:25" s="9" customFormat="1" ht="20.149999999999999" customHeight="1">
      <c r="A22" s="39" t="s">
        <v>17</v>
      </c>
      <c r="B22" s="39" t="s">
        <v>191</v>
      </c>
      <c r="C22" s="39" t="s">
        <v>192</v>
      </c>
      <c r="D22" s="39" t="s">
        <v>193</v>
      </c>
      <c r="E22" s="64">
        <v>267.70123999999998</v>
      </c>
      <c r="F22" s="64">
        <v>17.936</v>
      </c>
      <c r="G22" s="57">
        <v>0</v>
      </c>
      <c r="H22" s="57">
        <v>4430944.4930105833</v>
      </c>
      <c r="I22" s="57">
        <f t="shared" si="33"/>
        <v>4430944.4930105833</v>
      </c>
      <c r="J22" s="57">
        <f t="shared" si="34"/>
        <v>16551.826554895986</v>
      </c>
      <c r="K22" s="57">
        <v>0</v>
      </c>
      <c r="L22" s="57">
        <f>K22/E22</f>
        <v>0</v>
      </c>
      <c r="M22" s="45">
        <v>0</v>
      </c>
      <c r="N22" s="45">
        <f t="shared" si="42"/>
        <v>0</v>
      </c>
      <c r="O22" s="45">
        <f t="shared" si="43"/>
        <v>0</v>
      </c>
      <c r="P22" s="45">
        <f t="shared" si="35"/>
        <v>0</v>
      </c>
      <c r="Q22" s="45">
        <f t="shared" si="36"/>
        <v>0</v>
      </c>
      <c r="R22" s="45">
        <f t="shared" si="37"/>
        <v>0</v>
      </c>
      <c r="S22" s="45">
        <f t="shared" si="38"/>
        <v>0</v>
      </c>
      <c r="T22" s="47">
        <v>1</v>
      </c>
      <c r="U22" s="45">
        <f t="shared" si="39"/>
        <v>0</v>
      </c>
      <c r="V22" s="45">
        <f t="shared" si="40"/>
        <v>0</v>
      </c>
      <c r="W22" s="45">
        <f t="shared" si="41"/>
        <v>0</v>
      </c>
      <c r="X22" s="5"/>
      <c r="Y22" s="5"/>
    </row>
    <row r="23" spans="1:25" s="9" customFormat="1" ht="20.149999999999999" customHeight="1">
      <c r="A23" s="39" t="s">
        <v>17</v>
      </c>
      <c r="B23" s="39" t="s">
        <v>191</v>
      </c>
      <c r="C23" s="39" t="s">
        <v>194</v>
      </c>
      <c r="D23" s="39" t="s">
        <v>195</v>
      </c>
      <c r="E23" s="64">
        <v>0</v>
      </c>
      <c r="F23" s="64">
        <v>56.951999999999998</v>
      </c>
      <c r="G23" s="57">
        <v>0</v>
      </c>
      <c r="H23" s="57">
        <v>0</v>
      </c>
      <c r="I23" s="57">
        <f t="shared" si="33"/>
        <v>0</v>
      </c>
      <c r="J23" s="57">
        <f t="shared" si="34"/>
        <v>0</v>
      </c>
      <c r="K23" s="57">
        <v>0</v>
      </c>
      <c r="L23" s="57">
        <f>IFERROR(K23/E23,0)</f>
        <v>0</v>
      </c>
      <c r="M23" s="45">
        <v>0</v>
      </c>
      <c r="N23" s="45">
        <f t="shared" si="42"/>
        <v>0</v>
      </c>
      <c r="O23" s="45">
        <f t="shared" si="43"/>
        <v>0</v>
      </c>
      <c r="P23" s="45">
        <f t="shared" si="35"/>
        <v>0</v>
      </c>
      <c r="Q23" s="45">
        <f t="shared" si="36"/>
        <v>0</v>
      </c>
      <c r="R23" s="45">
        <f t="shared" si="37"/>
        <v>0</v>
      </c>
      <c r="S23" s="45">
        <f t="shared" si="38"/>
        <v>0</v>
      </c>
      <c r="T23" s="47">
        <v>1</v>
      </c>
      <c r="U23" s="45">
        <f t="shared" si="39"/>
        <v>0</v>
      </c>
      <c r="V23" s="45">
        <f t="shared" si="40"/>
        <v>0</v>
      </c>
      <c r="W23" s="45">
        <f t="shared" si="41"/>
        <v>0</v>
      </c>
      <c r="X23" s="5"/>
      <c r="Y23" s="5"/>
    </row>
    <row r="24" spans="1:25" s="9" customFormat="1" ht="20.149999999999999" customHeight="1">
      <c r="A24" s="39" t="s">
        <v>17</v>
      </c>
      <c r="B24" s="39" t="s">
        <v>196</v>
      </c>
      <c r="C24" s="39" t="s">
        <v>197</v>
      </c>
      <c r="D24" s="39" t="s">
        <v>198</v>
      </c>
      <c r="E24" s="64">
        <v>3408.6562389999999</v>
      </c>
      <c r="F24" s="64">
        <v>11.55</v>
      </c>
      <c r="G24" s="57">
        <v>3207804.1132518789</v>
      </c>
      <c r="H24" s="57">
        <v>1532277.956151</v>
      </c>
      <c r="I24" s="57">
        <f t="shared" si="33"/>
        <v>4740082.0694028791</v>
      </c>
      <c r="J24" s="57">
        <f t="shared" si="34"/>
        <v>1390.6013798544498</v>
      </c>
      <c r="K24" s="57">
        <v>0</v>
      </c>
      <c r="L24" s="57">
        <f t="shared" ref="L24:L30" si="44">K24/E24</f>
        <v>0</v>
      </c>
      <c r="M24" s="45">
        <v>0</v>
      </c>
      <c r="N24" s="45">
        <f t="shared" si="42"/>
        <v>0</v>
      </c>
      <c r="O24" s="45">
        <f t="shared" si="43"/>
        <v>0</v>
      </c>
      <c r="P24" s="45">
        <f t="shared" si="35"/>
        <v>0</v>
      </c>
      <c r="Q24" s="45">
        <f t="shared" si="36"/>
        <v>0</v>
      </c>
      <c r="R24" s="45">
        <f t="shared" si="37"/>
        <v>0</v>
      </c>
      <c r="S24" s="45">
        <f t="shared" si="38"/>
        <v>0</v>
      </c>
      <c r="T24" s="47">
        <v>1</v>
      </c>
      <c r="U24" s="45">
        <f t="shared" si="39"/>
        <v>0</v>
      </c>
      <c r="V24" s="45">
        <f t="shared" si="40"/>
        <v>0</v>
      </c>
      <c r="W24" s="45">
        <f t="shared" si="41"/>
        <v>0</v>
      </c>
      <c r="X24" s="5"/>
      <c r="Y24" s="5"/>
    </row>
    <row r="25" spans="1:25" s="9" customFormat="1" ht="20.149999999999999" customHeight="1">
      <c r="A25" s="39" t="s">
        <v>17</v>
      </c>
      <c r="B25" s="39" t="s">
        <v>199</v>
      </c>
      <c r="C25" s="39" t="s">
        <v>200</v>
      </c>
      <c r="D25" s="39" t="s">
        <v>201</v>
      </c>
      <c r="E25" s="64">
        <v>3843.5437379999998</v>
      </c>
      <c r="F25" s="64">
        <v>10</v>
      </c>
      <c r="G25" s="57">
        <v>544599.29968499998</v>
      </c>
      <c r="H25" s="57">
        <v>4078448.0726449997</v>
      </c>
      <c r="I25" s="57">
        <f t="shared" si="33"/>
        <v>4623047.3723299997</v>
      </c>
      <c r="J25" s="57">
        <f t="shared" si="34"/>
        <v>1202.8085765288097</v>
      </c>
      <c r="K25" s="57">
        <v>0</v>
      </c>
      <c r="L25" s="57">
        <f t="shared" si="44"/>
        <v>0</v>
      </c>
      <c r="M25" s="45">
        <v>0</v>
      </c>
      <c r="N25" s="45">
        <f t="shared" si="42"/>
        <v>0</v>
      </c>
      <c r="O25" s="45">
        <f t="shared" si="43"/>
        <v>0</v>
      </c>
      <c r="P25" s="45">
        <f t="shared" si="35"/>
        <v>0</v>
      </c>
      <c r="Q25" s="45">
        <f t="shared" si="36"/>
        <v>0</v>
      </c>
      <c r="R25" s="45">
        <f t="shared" si="37"/>
        <v>0</v>
      </c>
      <c r="S25" s="45">
        <f t="shared" si="38"/>
        <v>0</v>
      </c>
      <c r="T25" s="47">
        <v>1</v>
      </c>
      <c r="U25" s="45">
        <f t="shared" si="39"/>
        <v>0</v>
      </c>
      <c r="V25" s="45">
        <f t="shared" si="40"/>
        <v>0</v>
      </c>
      <c r="W25" s="45">
        <f t="shared" si="41"/>
        <v>0</v>
      </c>
      <c r="X25" s="5"/>
      <c r="Y25" s="5"/>
    </row>
    <row r="26" spans="1:25" s="9" customFormat="1" ht="20.149999999999999" customHeight="1">
      <c r="A26" s="39" t="s">
        <v>17</v>
      </c>
      <c r="B26" s="39" t="s">
        <v>202</v>
      </c>
      <c r="C26" s="39" t="s">
        <v>203</v>
      </c>
      <c r="D26" s="39" t="s">
        <v>204</v>
      </c>
      <c r="E26" s="64">
        <v>3784.3263489999999</v>
      </c>
      <c r="F26" s="64">
        <v>10</v>
      </c>
      <c r="G26" s="57">
        <v>550930.70595199999</v>
      </c>
      <c r="H26" s="57">
        <v>4078448.0726449997</v>
      </c>
      <c r="I26" s="57">
        <f t="shared" si="33"/>
        <v>4629378.7785970001</v>
      </c>
      <c r="J26" s="57">
        <f t="shared" si="34"/>
        <v>1223.3032650105092</v>
      </c>
      <c r="K26" s="57">
        <v>0</v>
      </c>
      <c r="L26" s="57">
        <f t="shared" si="44"/>
        <v>0</v>
      </c>
      <c r="M26" s="45">
        <v>0</v>
      </c>
      <c r="N26" s="45">
        <f t="shared" si="42"/>
        <v>0</v>
      </c>
      <c r="O26" s="45">
        <f t="shared" si="43"/>
        <v>0</v>
      </c>
      <c r="P26" s="45">
        <f t="shared" si="35"/>
        <v>0</v>
      </c>
      <c r="Q26" s="45">
        <f t="shared" si="36"/>
        <v>0</v>
      </c>
      <c r="R26" s="45">
        <f t="shared" si="37"/>
        <v>0</v>
      </c>
      <c r="S26" s="45">
        <f t="shared" si="38"/>
        <v>0</v>
      </c>
      <c r="T26" s="47">
        <v>1</v>
      </c>
      <c r="U26" s="45">
        <f t="shared" si="39"/>
        <v>0</v>
      </c>
      <c r="V26" s="45">
        <f t="shared" si="40"/>
        <v>0</v>
      </c>
      <c r="W26" s="45">
        <f t="shared" si="41"/>
        <v>0</v>
      </c>
      <c r="X26" s="5"/>
      <c r="Y26" s="5"/>
    </row>
    <row r="27" spans="1:25" s="9" customFormat="1" ht="20.149999999999999" customHeight="1">
      <c r="A27" s="39" t="s">
        <v>17</v>
      </c>
      <c r="B27" s="39" t="s">
        <v>205</v>
      </c>
      <c r="C27" s="39" t="s">
        <v>206</v>
      </c>
      <c r="D27" s="39" t="s">
        <v>207</v>
      </c>
      <c r="E27" s="64">
        <v>3882.3737259999998</v>
      </c>
      <c r="F27" s="64">
        <v>10</v>
      </c>
      <c r="G27" s="57">
        <v>591080.68294099998</v>
      </c>
      <c r="H27" s="57">
        <v>3802929.2903</v>
      </c>
      <c r="I27" s="57">
        <f t="shared" si="33"/>
        <v>4394009.9732409995</v>
      </c>
      <c r="J27" s="57">
        <f t="shared" si="34"/>
        <v>1131.7843884566305</v>
      </c>
      <c r="K27" s="57">
        <v>0</v>
      </c>
      <c r="L27" s="57">
        <f t="shared" si="44"/>
        <v>0</v>
      </c>
      <c r="M27" s="45">
        <v>0</v>
      </c>
      <c r="N27" s="45">
        <f t="shared" si="42"/>
        <v>0</v>
      </c>
      <c r="O27" s="45">
        <f t="shared" si="43"/>
        <v>0</v>
      </c>
      <c r="P27" s="45">
        <f t="shared" si="35"/>
        <v>0</v>
      </c>
      <c r="Q27" s="45">
        <f t="shared" si="36"/>
        <v>0</v>
      </c>
      <c r="R27" s="45">
        <f t="shared" si="37"/>
        <v>0</v>
      </c>
      <c r="S27" s="45">
        <f t="shared" si="38"/>
        <v>0</v>
      </c>
      <c r="T27" s="47">
        <v>1</v>
      </c>
      <c r="U27" s="45">
        <f t="shared" si="39"/>
        <v>0</v>
      </c>
      <c r="V27" s="45">
        <f t="shared" si="40"/>
        <v>0</v>
      </c>
      <c r="W27" s="45">
        <f t="shared" si="41"/>
        <v>0</v>
      </c>
      <c r="X27" s="5"/>
      <c r="Y27" s="5"/>
    </row>
    <row r="28" spans="1:25" s="9" customFormat="1" ht="20.149999999999999" customHeight="1">
      <c r="A28" s="39" t="s">
        <v>17</v>
      </c>
      <c r="B28" s="39" t="s">
        <v>208</v>
      </c>
      <c r="C28" s="39" t="s">
        <v>209</v>
      </c>
      <c r="D28" s="39" t="s">
        <v>210</v>
      </c>
      <c r="E28" s="64">
        <v>3841.7963209999998</v>
      </c>
      <c r="F28" s="64">
        <v>10</v>
      </c>
      <c r="G28" s="57">
        <v>576089.63028000004</v>
      </c>
      <c r="H28" s="57">
        <v>3802929.2903</v>
      </c>
      <c r="I28" s="57">
        <f t="shared" si="33"/>
        <v>4379018.9205799997</v>
      </c>
      <c r="J28" s="57">
        <f t="shared" si="34"/>
        <v>1139.8363043463387</v>
      </c>
      <c r="K28" s="57">
        <v>0</v>
      </c>
      <c r="L28" s="57">
        <f t="shared" si="44"/>
        <v>0</v>
      </c>
      <c r="M28" s="45">
        <v>0</v>
      </c>
      <c r="N28" s="45">
        <f t="shared" si="42"/>
        <v>0</v>
      </c>
      <c r="O28" s="45">
        <f t="shared" si="43"/>
        <v>0</v>
      </c>
      <c r="P28" s="45">
        <f t="shared" si="35"/>
        <v>0</v>
      </c>
      <c r="Q28" s="45">
        <f t="shared" si="36"/>
        <v>0</v>
      </c>
      <c r="R28" s="45">
        <f t="shared" si="37"/>
        <v>0</v>
      </c>
      <c r="S28" s="45">
        <f t="shared" si="38"/>
        <v>0</v>
      </c>
      <c r="T28" s="47">
        <v>1</v>
      </c>
      <c r="U28" s="45">
        <f t="shared" si="39"/>
        <v>0</v>
      </c>
      <c r="V28" s="45">
        <f t="shared" si="40"/>
        <v>0</v>
      </c>
      <c r="W28" s="45">
        <f t="shared" si="41"/>
        <v>0</v>
      </c>
      <c r="X28" s="5"/>
      <c r="Y28" s="5"/>
    </row>
    <row r="29" spans="1:25" s="9" customFormat="1" ht="20.149999999999999" customHeight="1">
      <c r="A29" s="39" t="s">
        <v>17</v>
      </c>
      <c r="B29" s="39" t="s">
        <v>286</v>
      </c>
      <c r="C29" s="39" t="s">
        <v>282</v>
      </c>
      <c r="D29" s="39" t="s">
        <v>283</v>
      </c>
      <c r="E29" s="64">
        <v>1244.5767020000001</v>
      </c>
      <c r="F29" s="64">
        <v>3.15</v>
      </c>
      <c r="G29" s="57">
        <v>1858471.2934713971</v>
      </c>
      <c r="H29" s="57">
        <v>293890.20213599998</v>
      </c>
      <c r="I29" s="57">
        <f t="shared" si="33"/>
        <v>2152361.4956073971</v>
      </c>
      <c r="J29" s="57">
        <f t="shared" si="34"/>
        <v>1729.392404781973</v>
      </c>
      <c r="K29" s="57">
        <v>125791.17</v>
      </c>
      <c r="L29" s="57">
        <f t="shared" si="44"/>
        <v>101.07144846746455</v>
      </c>
      <c r="M29" s="45">
        <v>0</v>
      </c>
      <c r="N29" s="45">
        <f t="shared" ref="N29:N30" si="45">K29</f>
        <v>125791.17</v>
      </c>
      <c r="O29" s="45">
        <f t="shared" ref="O29:O30" si="46">L29</f>
        <v>101.07144846746455</v>
      </c>
      <c r="P29" s="45">
        <f t="shared" ref="P29:P30" si="47">O29*0.0925</f>
        <v>9.3491089832404715</v>
      </c>
      <c r="Q29" s="45">
        <f t="shared" ref="Q29:Q30" si="48">O29-P29</f>
        <v>91.722339484224079</v>
      </c>
      <c r="R29" s="45">
        <f t="shared" ref="R29:R30" si="49">P29*E29</f>
        <v>11635.683225000001</v>
      </c>
      <c r="S29" s="45">
        <f t="shared" ref="S29:S30" si="50">Q29*E29</f>
        <v>114155.486775</v>
      </c>
      <c r="T29" s="47">
        <v>1</v>
      </c>
      <c r="U29" s="45">
        <f t="shared" ref="U29:U30" si="51">ROUND(T29*R29,6)</f>
        <v>11635.683225000001</v>
      </c>
      <c r="V29" s="45">
        <f t="shared" ref="V29:V30" si="52">ROUND(S29,6)</f>
        <v>114155.486775</v>
      </c>
      <c r="W29" s="45">
        <f t="shared" ref="W29:W30" si="53">SUM(U29:V29)</f>
        <v>125791.17</v>
      </c>
      <c r="X29" s="5"/>
      <c r="Y29" s="5"/>
    </row>
    <row r="30" spans="1:25" s="9" customFormat="1" ht="20.149999999999999" customHeight="1">
      <c r="A30" s="39" t="s">
        <v>17</v>
      </c>
      <c r="B30" s="39" t="s">
        <v>286</v>
      </c>
      <c r="C30" s="39" t="s">
        <v>284</v>
      </c>
      <c r="D30" s="39" t="s">
        <v>285</v>
      </c>
      <c r="E30" s="64">
        <v>1177.2182600000001</v>
      </c>
      <c r="F30" s="64">
        <v>2.52</v>
      </c>
      <c r="G30" s="57">
        <v>1775102.9899597843</v>
      </c>
      <c r="H30" s="57">
        <v>233961.53122800001</v>
      </c>
      <c r="I30" s="57">
        <f t="shared" si="33"/>
        <v>2009064.5211877844</v>
      </c>
      <c r="J30" s="57">
        <f t="shared" si="34"/>
        <v>1706.6202500017152</v>
      </c>
      <c r="K30" s="57">
        <v>116166.11</v>
      </c>
      <c r="L30" s="57">
        <f t="shared" si="44"/>
        <v>98.67848125291566</v>
      </c>
      <c r="M30" s="45">
        <v>0</v>
      </c>
      <c r="N30" s="45">
        <f t="shared" si="45"/>
        <v>116166.11</v>
      </c>
      <c r="O30" s="45">
        <f t="shared" si="46"/>
        <v>98.67848125291566</v>
      </c>
      <c r="P30" s="45">
        <f t="shared" si="47"/>
        <v>9.1277595158946987</v>
      </c>
      <c r="Q30" s="45">
        <f t="shared" si="48"/>
        <v>89.550721737020964</v>
      </c>
      <c r="R30" s="45">
        <f t="shared" si="49"/>
        <v>10745.365175000001</v>
      </c>
      <c r="S30" s="45">
        <f t="shared" si="50"/>
        <v>105420.744825</v>
      </c>
      <c r="T30" s="47">
        <v>1</v>
      </c>
      <c r="U30" s="45">
        <f t="shared" si="51"/>
        <v>10745.365175000001</v>
      </c>
      <c r="V30" s="45">
        <f t="shared" si="52"/>
        <v>105420.744825</v>
      </c>
      <c r="W30" s="45">
        <f t="shared" si="53"/>
        <v>116166.11</v>
      </c>
      <c r="X30" s="5"/>
      <c r="Y30" s="5"/>
    </row>
    <row r="31" spans="1:25" s="9" customFormat="1" ht="20.149999999999999" customHeight="1">
      <c r="A31" s="39" t="s">
        <v>17</v>
      </c>
      <c r="B31" s="39" t="s">
        <v>286</v>
      </c>
      <c r="C31" s="39" t="s">
        <v>289</v>
      </c>
      <c r="D31" s="39" t="s">
        <v>290</v>
      </c>
      <c r="E31" s="64">
        <v>389.25228999999996</v>
      </c>
      <c r="F31" s="64">
        <v>0.94499999999999995</v>
      </c>
      <c r="G31" s="57">
        <v>612666.08294405334</v>
      </c>
      <c r="H31" s="57">
        <v>85817.856740999996</v>
      </c>
      <c r="I31" s="57">
        <f t="shared" ref="I31" si="54">G31+H31</f>
        <v>698483.93968505331</v>
      </c>
      <c r="J31" s="57">
        <f t="shared" ref="J31" si="55">IF(E31=0,0,I31/E31)</f>
        <v>1794.4247410466189</v>
      </c>
      <c r="K31" s="57">
        <v>41098.6</v>
      </c>
      <c r="L31" s="57">
        <f t="shared" ref="L31" si="56">K31/E31</f>
        <v>105.58345077430374</v>
      </c>
      <c r="M31" s="45">
        <v>1</v>
      </c>
      <c r="N31" s="45">
        <f t="shared" ref="N31" si="57">K31</f>
        <v>41098.6</v>
      </c>
      <c r="O31" s="45">
        <f t="shared" ref="O31" si="58">L31</f>
        <v>105.58345077430374</v>
      </c>
      <c r="P31" s="45">
        <f t="shared" ref="P31" si="59">O31*0.0925</f>
        <v>9.7664691966230954</v>
      </c>
      <c r="Q31" s="45">
        <f t="shared" ref="Q31" si="60">O31-P31</f>
        <v>95.81698157768065</v>
      </c>
      <c r="R31" s="45">
        <f t="shared" ref="R31" si="61">P31*E31</f>
        <v>3801.6205</v>
      </c>
      <c r="S31" s="45">
        <f t="shared" ref="S31" si="62">Q31*E31</f>
        <v>37296.979500000001</v>
      </c>
      <c r="T31" s="47">
        <v>1</v>
      </c>
      <c r="U31" s="45">
        <f t="shared" ref="U31" si="63">ROUND(T31*R31,6)</f>
        <v>3801.6205</v>
      </c>
      <c r="V31" s="45">
        <f t="shared" ref="V31" si="64">ROUND(S31,6)</f>
        <v>37296.979500000001</v>
      </c>
      <c r="W31" s="45">
        <f t="shared" ref="W31" si="65">SUM(U31:V31)</f>
        <v>41098.6</v>
      </c>
      <c r="X31" s="5"/>
      <c r="Y31" s="5"/>
    </row>
    <row r="32" spans="1:25" ht="19.5" customHeight="1">
      <c r="E32" s="68">
        <f>SUM(E20:E31)</f>
        <v>84849.093530000013</v>
      </c>
      <c r="F32" s="69"/>
      <c r="G32" s="69"/>
      <c r="H32" s="69"/>
      <c r="I32" s="70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71">
        <f>SUM(W20:W31)</f>
        <v>418035.41</v>
      </c>
    </row>
  </sheetData>
  <phoneticPr fontId="2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</vt:lpstr>
      <vt:lpstr>IMPORTAÇÃO VENEZUELA</vt:lpstr>
      <vt:lpstr>COMBUSTÍVEL OD</vt:lpstr>
      <vt:lpstr>FRETE</vt:lpstr>
      <vt:lpstr>LOCAÇÃO</vt:lpstr>
      <vt:lpstr>GERAÇÃO PRÓPRIA</vt:lpstr>
      <vt:lpstr>MIGDI</vt:lpstr>
      <vt:lpstr>SIGFI</vt:lpstr>
      <vt:lpstr>CCESI</vt:lpstr>
      <vt:lpstr>CVU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Lucia Barbosa de Oliveira</dc:creator>
  <cp:lastModifiedBy>Gabriela Pantoja Passos</cp:lastModifiedBy>
  <dcterms:created xsi:type="dcterms:W3CDTF">2019-04-29T22:08:02Z</dcterms:created>
  <dcterms:modified xsi:type="dcterms:W3CDTF">2026-07-15T14:51:23Z</dcterms:modified>
</cp:coreProperties>
</file>