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Z:\GCSE\CONTA CCC\1 OPERAÇÕES\2026\05.Maio26\CTG\6. PUBLICAÇÃO\"/>
    </mc:Choice>
  </mc:AlternateContent>
  <xr:revisionPtr revIDLastSave="0" documentId="13_ncr:1_{204108D3-6089-41A8-B832-5595D6192F6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SUMO" sheetId="1" r:id="rId1"/>
    <sheet name="GÁS NATURAL" sheetId="2" r:id="rId2"/>
    <sheet name="GÁS ACESSÓRIAS" sheetId="7" r:id="rId3"/>
  </sheets>
  <definedNames>
    <definedName name="bdContratosLoc">#REF!</definedName>
    <definedName name="lotesGG">#REF!</definedName>
    <definedName name="Municipios">#REF!</definedName>
    <definedName name="Região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" i="2" l="1"/>
  <c r="D2" i="7"/>
  <c r="D23" i="7" l="1"/>
  <c r="C22" i="7"/>
  <c r="D22" i="7"/>
  <c r="C23" i="7"/>
  <c r="M10" i="2" l="1"/>
  <c r="K10" i="2"/>
  <c r="M11" i="2"/>
  <c r="K11" i="2"/>
  <c r="M9" i="2"/>
  <c r="K9" i="2"/>
  <c r="M7" i="2"/>
  <c r="K7" i="2"/>
  <c r="M8" i="2"/>
  <c r="K8" i="2"/>
  <c r="K6" i="2"/>
  <c r="E27" i="7"/>
  <c r="F27" i="7" s="1"/>
  <c r="O6" i="2" l="1"/>
  <c r="T6" i="2" s="1"/>
  <c r="P6" i="2"/>
  <c r="Q6" i="2" s="1"/>
  <c r="V6" i="2" s="1"/>
  <c r="I6" i="2"/>
  <c r="R6" i="2" s="1"/>
  <c r="O9" i="2"/>
  <c r="T9" i="2" s="1"/>
  <c r="I9" i="2"/>
  <c r="R9" i="2" s="1"/>
  <c r="P9" i="2"/>
  <c r="Q9" i="2" s="1"/>
  <c r="V9" i="2" s="1"/>
  <c r="O8" i="2"/>
  <c r="T8" i="2" s="1"/>
  <c r="P8" i="2"/>
  <c r="Q8" i="2" s="1"/>
  <c r="V8" i="2" s="1"/>
  <c r="I8" i="2"/>
  <c r="R8" i="2" s="1"/>
  <c r="O11" i="2"/>
  <c r="T11" i="2" s="1"/>
  <c r="P11" i="2"/>
  <c r="Q11" i="2" s="1"/>
  <c r="V11" i="2" s="1"/>
  <c r="I11" i="2"/>
  <c r="R11" i="2" s="1"/>
  <c r="E26" i="7"/>
  <c r="F26" i="7" s="1"/>
  <c r="O7" i="2"/>
  <c r="T7" i="2" s="1"/>
  <c r="I7" i="2"/>
  <c r="R7" i="2" s="1"/>
  <c r="P7" i="2"/>
  <c r="Q7" i="2" s="1"/>
  <c r="V7" i="2" s="1"/>
  <c r="E30" i="7"/>
  <c r="F30" i="7" s="1"/>
  <c r="O10" i="2"/>
  <c r="T10" i="2" s="1"/>
  <c r="I10" i="2"/>
  <c r="R10" i="2" s="1"/>
  <c r="P10" i="2"/>
  <c r="Q10" i="2" s="1"/>
  <c r="V10" i="2" s="1"/>
  <c r="W10" i="2" l="1"/>
  <c r="X10" i="2" s="1"/>
  <c r="W11" i="2"/>
  <c r="W8" i="2"/>
  <c r="X8" i="2" s="1"/>
  <c r="W9" i="2"/>
  <c r="X9" i="2" s="1"/>
  <c r="W7" i="2"/>
  <c r="X7" i="2" s="1"/>
  <c r="P5" i="2"/>
  <c r="W6" i="2"/>
  <c r="X6" i="2" s="1"/>
  <c r="X11" i="2" l="1"/>
  <c r="E17" i="7" l="1"/>
  <c r="E22" i="7" s="1"/>
  <c r="E23" i="7"/>
  <c r="C26" i="7" l="1"/>
  <c r="C30" i="7"/>
  <c r="C27" i="7"/>
  <c r="G27" i="7" l="1"/>
  <c r="J27" i="7" s="1"/>
  <c r="H27" i="7"/>
  <c r="K27" i="7" s="1"/>
  <c r="H26" i="7"/>
  <c r="G26" i="7"/>
  <c r="J26" i="7" s="1"/>
  <c r="H30" i="7"/>
  <c r="G30" i="7"/>
  <c r="J30" i="7" s="1"/>
  <c r="K30" i="7" s="1"/>
  <c r="K26" i="7" l="1"/>
  <c r="K32" i="7"/>
  <c r="C6" i="1" s="1"/>
  <c r="O5" i="2" l="1"/>
  <c r="T5" i="2" s="1"/>
  <c r="I5" i="2"/>
  <c r="R5" i="2" s="1"/>
  <c r="E12" i="2"/>
  <c r="Q5" i="2"/>
  <c r="V5" i="2" s="1"/>
  <c r="K5" i="2"/>
  <c r="W5" i="2" l="1"/>
  <c r="X5" i="2"/>
  <c r="X12" i="2" s="1"/>
  <c r="C5" i="1" s="1"/>
  <c r="C4" i="1" s="1"/>
  <c r="C12" i="1" s="1"/>
  <c r="C14" i="1" s="1"/>
</calcChain>
</file>

<file path=xl/sharedStrings.xml><?xml version="1.0" encoding="utf-8"?>
<sst xmlns="http://schemas.openxmlformats.org/spreadsheetml/2006/main" count="166" uniqueCount="92">
  <si>
    <t>CUSTO TOTAL DA GERAÇÃO</t>
  </si>
  <si>
    <t>R$</t>
  </si>
  <si>
    <t>GERAÇÃO MENSAL TOTAL</t>
  </si>
  <si>
    <t>COMPENSAÇÃO</t>
  </si>
  <si>
    <t>ACRméd</t>
  </si>
  <si>
    <t>R$/MWh</t>
  </si>
  <si>
    <t>FATOR DE CORTE</t>
  </si>
  <si>
    <t xml:space="preserve"> - </t>
  </si>
  <si>
    <t>REEMBOLSO MENSAL</t>
  </si>
  <si>
    <t>REEMBOLSO PRELIMINAR</t>
  </si>
  <si>
    <t>REEMBOLSO MENSAL EFETIVO</t>
  </si>
  <si>
    <t>CEG</t>
  </si>
  <si>
    <t>COARI</t>
  </si>
  <si>
    <t>UTE.GN.AM.000092-2.02</t>
  </si>
  <si>
    <t>ANAMÃ - GÁS</t>
  </si>
  <si>
    <t>UTE.GN.AM.000105-8.02</t>
  </si>
  <si>
    <t>ANORI - GÁS</t>
  </si>
  <si>
    <t>UTE.GN.AM.000340-9.02</t>
  </si>
  <si>
    <t>CAAPIRANGA - GÁS</t>
  </si>
  <si>
    <t>UTE.GN.AM.000788-9.02</t>
  </si>
  <si>
    <t>CODAJÁS - GÁS</t>
  </si>
  <si>
    <t>AmGT</t>
  </si>
  <si>
    <t>UTE.GN.AM.029272-9.01</t>
  </si>
  <si>
    <t>JARAQUI</t>
  </si>
  <si>
    <t>UTE.PE.AM.029276-1.01</t>
  </si>
  <si>
    <t>TAMBAQUI</t>
  </si>
  <si>
    <t>UTE.GN.AM.029361-0.02</t>
  </si>
  <si>
    <t>UTE.GN.AM.029432-2.01</t>
  </si>
  <si>
    <t>UTE.PE.AM.029499-3.01</t>
  </si>
  <si>
    <t>UTE.GN.AM.037683-3.01</t>
  </si>
  <si>
    <t>UTE.GN.AM.027250-7.02</t>
  </si>
  <si>
    <t>APARECIDA</t>
  </si>
  <si>
    <t>UTE.GN.AM.031888-4.01</t>
  </si>
  <si>
    <t>MAUÁ 3</t>
  </si>
  <si>
    <t>PIE</t>
  </si>
  <si>
    <t>Interior</t>
  </si>
  <si>
    <t>CCESI</t>
  </si>
  <si>
    <t>Ship or Pay</t>
  </si>
  <si>
    <t>Take or Pay</t>
  </si>
  <si>
    <t>Margem Líquida</t>
  </si>
  <si>
    <t>NA</t>
  </si>
  <si>
    <t>MWh</t>
  </si>
  <si>
    <t>PIS e COFINS (R$/m³)</t>
  </si>
  <si>
    <t>PIS / COFINS (R$/m³)</t>
  </si>
  <si>
    <t>ICMS 
(R$/m³)</t>
  </si>
  <si>
    <t>competência:</t>
  </si>
  <si>
    <t>1 - combustível</t>
  </si>
  <si>
    <t>2 - despesas acessórias</t>
  </si>
  <si>
    <t>beneficiário</t>
  </si>
  <si>
    <t>usina</t>
  </si>
  <si>
    <t>tipo</t>
  </si>
  <si>
    <t>consumo de gás eficiente 
(m³)</t>
  </si>
  <si>
    <t>commodity (R$)</t>
  </si>
  <si>
    <t>faturamento commodity (R$)</t>
  </si>
  <si>
    <t>transporte (R$/m³)</t>
  </si>
  <si>
    <t>faturamento transporte 
(R$)</t>
  </si>
  <si>
    <t>margem (R$/m³)</t>
  </si>
  <si>
    <t>faturamento margem 
(R$)</t>
  </si>
  <si>
    <t>ramal termoelétrico (R$)</t>
  </si>
  <si>
    <t>faturamento ramal 
(R$)</t>
  </si>
  <si>
    <t>faturamento ICMS 
(R$)</t>
  </si>
  <si>
    <t>faturamento 
PIS / COFINS (R$)</t>
  </si>
  <si>
    <t>faturamento líquido 
(R$)</t>
  </si>
  <si>
    <t>% não recuperado de ICMS</t>
  </si>
  <si>
    <t>ICMS não recuperado (R$)</t>
  </si>
  <si>
    <t>% não recuperado de PIS / COFINS</t>
  </si>
  <si>
    <t>PIS / COFINS não recuperado (R$)</t>
  </si>
  <si>
    <t>impostos não recuperados (R$)</t>
  </si>
  <si>
    <t>custo total (R$)</t>
  </si>
  <si>
    <t>consumo de 
gás eficiente (m³)</t>
  </si>
  <si>
    <t>volume 
contratado (m³)</t>
  </si>
  <si>
    <t>capacidade de consumo ref. ANEEL (m³)</t>
  </si>
  <si>
    <t>consumo de
 gás natural (m³)</t>
  </si>
  <si>
    <t>item</t>
  </si>
  <si>
    <t>volume de gás natural
 (m³)</t>
  </si>
  <si>
    <t>preço da parcela 
(R$/m³)</t>
  </si>
  <si>
    <t>preço da parcela com
 PIS / COFINS
 (R$/m³)</t>
  </si>
  <si>
    <t>faturamento 
PIS / COFINS 
(R$)</t>
  </si>
  <si>
    <t>faturamento líquido (R$)</t>
  </si>
  <si>
    <t>PIS / COFINS não recuperado 
(R$)</t>
  </si>
  <si>
    <t>custo total
(R$)</t>
  </si>
  <si>
    <t>3 - contratos</t>
  </si>
  <si>
    <t>reembolso mensal CCC - J&amp;F</t>
  </si>
  <si>
    <t>J&amp;F</t>
  </si>
  <si>
    <t xml:space="preserve"> TUCUNARE</t>
  </si>
  <si>
    <t>PORAQUE</t>
  </si>
  <si>
    <t xml:space="preserve"> PIRARUCU</t>
  </si>
  <si>
    <t>CER</t>
  </si>
  <si>
    <t>CCEAR</t>
  </si>
  <si>
    <t>PORAQUÊ</t>
  </si>
  <si>
    <t>PIRARUCU</t>
  </si>
  <si>
    <t>TUCUNARÉ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</si>
</sst>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_-;\-* #,##0_-;_-* &quot;-&quot;??_-;_-@_-"/>
    <numFmt numFmtId="165" formatCode="_-* #,##0.0000_-;\-* #,##0.0000_-;_-* &quot;-&quot;??_-;_-@_-"/>
    <numFmt numFmtId="166" formatCode="0.0000"/>
    <numFmt numFmtId="167" formatCode="_-* #,##0.0_-;\-* #,##0.0_-;_-* &quot;-&quot;??_-;_-@_-"/>
    <numFmt numFmtId="168" formatCode="mmmm/yyyy"/>
    <numFmt numFmtId="169" formatCode="#,##0.0000"/>
    <numFmt numFmtId="170" formatCode="#,##0.000000000"/>
    <numFmt numFmtId="171" formatCode="#,##0.000000"/>
  </numFmts>
  <fonts count="10">
    <font>
      <sz val="11"/>
      <color theme="1"/>
      <name val="Inter"/>
      <family val="2"/>
      <scheme val="minor"/>
    </font>
    <font>
      <sz val="11"/>
      <color theme="1"/>
      <name val="Inter"/>
      <family val="2"/>
      <scheme val="minor"/>
    </font>
    <font>
      <b/>
      <i/>
      <sz val="12"/>
      <color rgb="FF002060"/>
      <name val="Inter"/>
      <family val="2"/>
      <scheme val="minor"/>
    </font>
    <font>
      <b/>
      <i/>
      <sz val="12"/>
      <name val="Inter"/>
      <family val="2"/>
      <scheme val="minor"/>
    </font>
    <font>
      <b/>
      <i/>
      <sz val="12"/>
      <color theme="1"/>
      <name val="Inter"/>
      <family val="2"/>
      <scheme val="minor"/>
    </font>
    <font>
      <b/>
      <i/>
      <sz val="22"/>
      <color theme="4"/>
      <name val="Inter"/>
      <family val="2"/>
      <scheme val="minor"/>
    </font>
    <font>
      <b/>
      <i/>
      <sz val="12"/>
      <color theme="4"/>
      <name val="Inter"/>
      <family val="2"/>
      <scheme val="minor"/>
    </font>
    <font>
      <b/>
      <sz val="11"/>
      <color theme="4"/>
      <name val="Inter"/>
      <family val="2"/>
      <scheme val="minor"/>
    </font>
    <font>
      <sz val="11"/>
      <color theme="4"/>
      <name val="Inter"/>
      <family val="2"/>
      <scheme val="minor"/>
    </font>
    <font>
      <b/>
      <u val="double"/>
      <sz val="11"/>
      <color theme="4"/>
      <name val="Inter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2" fillId="0" borderId="0" xfId="0" applyFont="1" applyAlignment="1">
      <alignment horizontal="right" vertical="top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164" fontId="0" fillId="0" borderId="0" xfId="0" applyNumberFormat="1"/>
    <xf numFmtId="43" fontId="0" fillId="0" borderId="0" xfId="1" applyFont="1"/>
    <xf numFmtId="43" fontId="0" fillId="0" borderId="0" xfId="0" applyNumberFormat="1"/>
    <xf numFmtId="167" fontId="0" fillId="0" borderId="0" xfId="0" applyNumberFormat="1"/>
    <xf numFmtId="166" fontId="0" fillId="0" borderId="0" xfId="0" applyNumberFormat="1"/>
    <xf numFmtId="165" fontId="0" fillId="0" borderId="0" xfId="0" applyNumberFormat="1"/>
    <xf numFmtId="168" fontId="4" fillId="0" borderId="0" xfId="0" applyNumberFormat="1" applyFont="1" applyAlignment="1">
      <alignment horizontal="center" vertical="top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top"/>
    </xf>
    <xf numFmtId="0" fontId="8" fillId="0" borderId="0" xfId="0" applyFont="1"/>
    <xf numFmtId="4" fontId="9" fillId="0" borderId="0" xfId="0" applyNumberFormat="1" applyFont="1"/>
    <xf numFmtId="164" fontId="9" fillId="0" borderId="0" xfId="0" applyNumberFormat="1" applyFont="1" applyAlignment="1">
      <alignment horizontal="right"/>
    </xf>
    <xf numFmtId="0" fontId="0" fillId="0" borderId="0" xfId="0" applyAlignme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64" fontId="1" fillId="0" borderId="1" xfId="1" applyNumberFormat="1" applyFont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43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3" fontId="0" fillId="2" borderId="1" xfId="0" applyNumberFormat="1" applyFill="1" applyBorder="1" applyAlignment="1">
      <alignment vertical="center"/>
    </xf>
    <xf numFmtId="169" fontId="0" fillId="0" borderId="1" xfId="0" applyNumberFormat="1" applyBorder="1" applyAlignment="1">
      <alignment vertical="center"/>
    </xf>
    <xf numFmtId="4" fontId="0" fillId="0" borderId="1" xfId="0" applyNumberFormat="1" applyBorder="1" applyAlignment="1">
      <alignment vertical="center"/>
    </xf>
    <xf numFmtId="9" fontId="0" fillId="0" borderId="1" xfId="2" applyFont="1" applyBorder="1" applyAlignment="1">
      <alignment vertical="center"/>
    </xf>
    <xf numFmtId="4" fontId="0" fillId="0" borderId="1" xfId="0" applyNumberFormat="1" applyBorder="1" applyAlignment="1">
      <alignment horizontal="center" vertical="center"/>
    </xf>
    <xf numFmtId="43" fontId="0" fillId="0" borderId="1" xfId="1" applyFont="1" applyBorder="1" applyAlignment="1">
      <alignment vertical="center"/>
    </xf>
    <xf numFmtId="0" fontId="7" fillId="3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center" vertical="center"/>
    </xf>
    <xf numFmtId="43" fontId="7" fillId="3" borderId="1" xfId="0" applyNumberFormat="1" applyFont="1" applyFill="1" applyBorder="1" applyAlignment="1">
      <alignment horizontal="right" vertical="center"/>
    </xf>
    <xf numFmtId="0" fontId="0" fillId="0" borderId="1" xfId="0" applyBorder="1" applyAlignment="1">
      <alignment vertical="center"/>
    </xf>
    <xf numFmtId="43" fontId="0" fillId="0" borderId="1" xfId="0" applyNumberFormat="1" applyBorder="1" applyAlignment="1">
      <alignment horizontal="right" vertical="center"/>
    </xf>
    <xf numFmtId="166" fontId="0" fillId="0" borderId="1" xfId="0" applyNumberFormat="1" applyBorder="1" applyAlignment="1">
      <alignment horizontal="left" vertical="center" indent="3"/>
    </xf>
    <xf numFmtId="170" fontId="0" fillId="0" borderId="1" xfId="0" applyNumberFormat="1" applyBorder="1" applyAlignment="1">
      <alignment vertical="center"/>
    </xf>
    <xf numFmtId="0" fontId="0" fillId="0" borderId="2" xfId="0" applyBorder="1"/>
    <xf numFmtId="171" fontId="0" fillId="0" borderId="1" xfId="0" applyNumberFormat="1" applyBorder="1" applyAlignment="1">
      <alignment vertical="center"/>
    </xf>
    <xf numFmtId="164" fontId="0" fillId="0" borderId="1" xfId="1" applyNumberFormat="1" applyFont="1" applyFill="1" applyBorder="1" applyAlignment="1">
      <alignment horizontal="right" vertical="center"/>
    </xf>
    <xf numFmtId="43" fontId="0" fillId="0" borderId="1" xfId="1" applyFont="1" applyFill="1" applyBorder="1" applyAlignment="1">
      <alignment horizontal="center" vertical="center"/>
    </xf>
    <xf numFmtId="164" fontId="0" fillId="0" borderId="1" xfId="1" applyNumberFormat="1" applyFont="1" applyFill="1" applyBorder="1" applyAlignment="1">
      <alignment horizontal="center" vertical="center"/>
    </xf>
    <xf numFmtId="43" fontId="0" fillId="0" borderId="1" xfId="1" applyFont="1" applyBorder="1" applyAlignment="1">
      <alignment horizontal="right" vertical="center"/>
    </xf>
  </cellXfs>
  <cellStyles count="5">
    <cellStyle name="Moeda 2" xfId="4" xr:uid="{00000000-0005-0000-0000-000000000000}"/>
    <cellStyle name="Normal" xfId="0" builtinId="0"/>
    <cellStyle name="Porcentagem" xfId="2" builtinId="5"/>
    <cellStyle name="Vírgula" xfId="1" builtinId="3"/>
    <cellStyle name="Vírgula 2" xfId="3" xr:uid="{00000000-0005-0000-0000-000004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E99F20B-44AB-4B58-9198-728E84AD4993}"/>
  </tableStyles>
  <colors>
    <mruColors>
      <color rgb="FFFFCB0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295277</xdr:colOff>
      <xdr:row>0</xdr:row>
      <xdr:rowOff>158751</xdr:rowOff>
    </xdr:from>
    <xdr:to>
      <xdr:col>0</xdr:col>
      <xdr:colOff>1606550</xdr:colOff>
      <xdr:row>0</xdr:row>
      <xdr:rowOff>583818</xdr:rowOff>
    </xdr:to>
    <xdr:pic>
      <xdr:nvPicPr>
        <xdr:cNvPr id="3" name="Imagem 2" descr="Ícone&#10;&#10;Descrição gerada automaticamente com confiança baixa">
          <a:extLst>
            <a:ext uri="{FF2B5EF4-FFF2-40B4-BE49-F238E27FC236}">
              <a16:creationId xmlns:a16="http://schemas.microsoft.com/office/drawing/2014/main" id="{3575995A-2C95-4E74-AD34-E1821595F4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277" y="158751"/>
          <a:ext cx="1314448" cy="42189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295277</xdr:colOff>
      <xdr:row>0</xdr:row>
      <xdr:rowOff>158751</xdr:rowOff>
    </xdr:from>
    <xdr:to>
      <xdr:col>0</xdr:col>
      <xdr:colOff>1606550</xdr:colOff>
      <xdr:row>0</xdr:row>
      <xdr:rowOff>583818</xdr:rowOff>
    </xdr:to>
    <xdr:pic>
      <xdr:nvPicPr>
        <xdr:cNvPr id="3" name="Imagem 2" descr="Ícone&#10;&#10;Descrição gerada automaticamente com confiança baixa">
          <a:extLst>
            <a:ext uri="{FF2B5EF4-FFF2-40B4-BE49-F238E27FC236}">
              <a16:creationId xmlns:a16="http://schemas.microsoft.com/office/drawing/2014/main" id="{85213AA3-05BF-47C6-94E4-6A3C5D81E6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277" y="158751"/>
          <a:ext cx="1314448" cy="42189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295277</xdr:colOff>
      <xdr:row>0</xdr:row>
      <xdr:rowOff>158751</xdr:rowOff>
    </xdr:from>
    <xdr:to>
      <xdr:col>0</xdr:col>
      <xdr:colOff>1606550</xdr:colOff>
      <xdr:row>0</xdr:row>
      <xdr:rowOff>583818</xdr:rowOff>
    </xdr:to>
    <xdr:pic>
      <xdr:nvPicPr>
        <xdr:cNvPr id="3" name="Imagem 2" descr="Ícone&#10;&#10;Descrição gerada automaticamente com confiança baixa">
          <a:extLst>
            <a:ext uri="{FF2B5EF4-FFF2-40B4-BE49-F238E27FC236}">
              <a16:creationId xmlns:a16="http://schemas.microsoft.com/office/drawing/2014/main" id="{2857927D-BFCF-4F1E-B61C-AAC8C33973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277" y="158751"/>
          <a:ext cx="1314448" cy="4218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CCEE1">
  <a:themeElements>
    <a:clrScheme name="Personalizada 1">
      <a:dk1>
        <a:srgbClr val="4C4C4C"/>
      </a:dk1>
      <a:lt1>
        <a:sysClr val="window" lastClr="FFFFFF"/>
      </a:lt1>
      <a:dk2>
        <a:srgbClr val="000C4C"/>
      </a:dk2>
      <a:lt2>
        <a:srgbClr val="B8DDE1"/>
      </a:lt2>
      <a:accent1>
        <a:srgbClr val="06038D"/>
      </a:accent1>
      <a:accent2>
        <a:srgbClr val="B8DDE1"/>
      </a:accent2>
      <a:accent3>
        <a:srgbClr val="000C4C"/>
      </a:accent3>
      <a:accent4>
        <a:srgbClr val="FFFFFF"/>
      </a:accent4>
      <a:accent5>
        <a:srgbClr val="4C4C4C"/>
      </a:accent5>
      <a:accent6>
        <a:srgbClr val="002060"/>
      </a:accent6>
      <a:hlink>
        <a:srgbClr val="4C4C4C"/>
      </a:hlink>
      <a:folHlink>
        <a:srgbClr val="00FFFF"/>
      </a:folHlink>
    </a:clrScheme>
    <a:fontScheme name="CCEE-fonte">
      <a:majorFont>
        <a:latin typeface="Inter Black"/>
        <a:ea typeface=""/>
        <a:cs typeface=""/>
      </a:majorFont>
      <a:minorFont>
        <a:latin typeface="Inter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5"/>
  <sheetViews>
    <sheetView showGridLines="0" tabSelected="1" topLeftCell="A8" workbookViewId="0">
      <selection activeCell="A11" sqref="A11"/>
    </sheetView>
  </sheetViews>
  <sheetFormatPr defaultColWidth="9.1640625" defaultRowHeight="14"/>
  <cols>
    <col min="1" max="1" width="51.33203125" customWidth="1"/>
    <col min="2" max="2" width="13" customWidth="1"/>
    <col min="3" max="3" width="19.1640625" customWidth="1"/>
    <col min="4" max="4" width="14.5" bestFit="1" customWidth="1"/>
    <col min="5" max="5" width="15.1640625" customWidth="1"/>
    <col min="6" max="6" width="13.6640625" customWidth="1"/>
  </cols>
  <sheetData>
    <row r="1" spans="1:6" ht="49.5" customHeight="1">
      <c r="C1" s="11" t="s">
        <v>82</v>
      </c>
    </row>
    <row r="2" spans="1:6" ht="19.5" customHeight="1">
      <c r="B2" s="12" t="s">
        <v>45</v>
      </c>
      <c r="C2" s="10">
        <v>46143</v>
      </c>
    </row>
    <row r="3" spans="1:6" ht="15.5">
      <c r="B3" s="1"/>
      <c r="C3" s="10"/>
    </row>
    <row r="4" spans="1:6" ht="21.75" customHeight="1">
      <c r="A4" s="30" t="s">
        <v>0</v>
      </c>
      <c r="B4" s="31" t="s">
        <v>1</v>
      </c>
      <c r="C4" s="32">
        <f>SUM(C5:C7)</f>
        <v>241171623.04716855</v>
      </c>
      <c r="E4" s="6"/>
      <c r="F4" s="6"/>
    </row>
    <row r="5" spans="1:6" ht="19.5" customHeight="1">
      <c r="A5" s="33" t="s">
        <v>46</v>
      </c>
      <c r="B5" s="18" t="s">
        <v>1</v>
      </c>
      <c r="C5" s="42">
        <f>ROUND('GÁS NATURAL'!X12,2)</f>
        <v>209561666.21000001</v>
      </c>
      <c r="E5" s="6"/>
      <c r="F5" s="6"/>
    </row>
    <row r="6" spans="1:6" ht="19.5" customHeight="1">
      <c r="A6" s="33" t="s">
        <v>47</v>
      </c>
      <c r="B6" s="18" t="s">
        <v>1</v>
      </c>
      <c r="C6" s="34">
        <f>'GÁS ACESSÓRIAS'!K32</f>
        <v>31609956.837168545</v>
      </c>
      <c r="E6" s="6"/>
      <c r="F6" s="6"/>
    </row>
    <row r="7" spans="1:6" ht="19.5" customHeight="1">
      <c r="A7" s="33" t="s">
        <v>81</v>
      </c>
      <c r="B7" s="18" t="s">
        <v>1</v>
      </c>
      <c r="C7" s="34">
        <v>0</v>
      </c>
      <c r="D7" s="6"/>
      <c r="E7" s="6"/>
      <c r="F7" s="6"/>
    </row>
    <row r="8" spans="1:6" ht="19.5" customHeight="1">
      <c r="A8" s="33" t="s">
        <v>2</v>
      </c>
      <c r="B8" s="18" t="s">
        <v>41</v>
      </c>
      <c r="C8" s="34" t="s">
        <v>40</v>
      </c>
      <c r="E8" s="6"/>
    </row>
    <row r="9" spans="1:6" ht="19.5" customHeight="1">
      <c r="A9" s="33" t="s">
        <v>3</v>
      </c>
      <c r="B9" s="18" t="s">
        <v>1</v>
      </c>
      <c r="C9" s="34">
        <v>0</v>
      </c>
      <c r="E9" s="6"/>
    </row>
    <row r="10" spans="1:6" ht="19.5" customHeight="1">
      <c r="A10" s="33" t="s">
        <v>4</v>
      </c>
      <c r="B10" s="18" t="s">
        <v>5</v>
      </c>
      <c r="C10" s="34">
        <v>342.71</v>
      </c>
      <c r="E10" s="6"/>
    </row>
    <row r="11" spans="1:6" ht="19.5" customHeight="1">
      <c r="A11" s="33" t="s">
        <v>6</v>
      </c>
      <c r="B11" s="18" t="s">
        <v>7</v>
      </c>
      <c r="C11" s="34" t="s">
        <v>40</v>
      </c>
      <c r="E11" s="6"/>
    </row>
    <row r="12" spans="1:6" ht="19.5" customHeight="1">
      <c r="A12" s="30" t="s">
        <v>8</v>
      </c>
      <c r="B12" s="31" t="s">
        <v>1</v>
      </c>
      <c r="C12" s="32">
        <f>ROUND(C4,2)</f>
        <v>241171623.05000001</v>
      </c>
      <c r="E12" s="6"/>
      <c r="F12" s="6"/>
    </row>
    <row r="13" spans="1:6" ht="21.75" customHeight="1">
      <c r="A13" s="30" t="s">
        <v>9</v>
      </c>
      <c r="B13" s="31" t="s">
        <v>1</v>
      </c>
      <c r="C13" s="32">
        <v>175534244.68000001</v>
      </c>
      <c r="E13" s="6"/>
      <c r="F13" s="6"/>
    </row>
    <row r="14" spans="1:6" ht="21.75" customHeight="1">
      <c r="A14" s="30" t="s">
        <v>10</v>
      </c>
      <c r="B14" s="31" t="s">
        <v>1</v>
      </c>
      <c r="C14" s="32">
        <f>ROUND(C12-C13,2)</f>
        <v>65637378.369999997</v>
      </c>
      <c r="D14" s="5"/>
      <c r="E14" s="6"/>
      <c r="F14" s="6"/>
    </row>
    <row r="15" spans="1:6" ht="21.4" customHeight="1"/>
  </sheetData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2"/>
  <sheetViews>
    <sheetView showGridLines="0" workbookViewId="0">
      <selection activeCell="A4" sqref="A4"/>
    </sheetView>
  </sheetViews>
  <sheetFormatPr defaultRowHeight="14"/>
  <cols>
    <col min="1" max="2" width="26.1640625" customWidth="1"/>
    <col min="3" max="4" width="27.1640625" customWidth="1"/>
    <col min="5" max="5" width="19.08203125" bestFit="1" customWidth="1"/>
    <col min="6" max="24" width="16.6640625" customWidth="1"/>
  </cols>
  <sheetData>
    <row r="1" spans="1:24" ht="49.5" customHeight="1">
      <c r="C1" s="11" t="s">
        <v>82</v>
      </c>
    </row>
    <row r="2" spans="1:24" ht="19.5" customHeight="1">
      <c r="C2" s="12" t="s">
        <v>45</v>
      </c>
      <c r="D2" s="10">
        <f>RESUMO!C2</f>
        <v>46143</v>
      </c>
    </row>
    <row r="3" spans="1:24" ht="15.5">
      <c r="A3" s="16"/>
      <c r="B3" s="3"/>
      <c r="C3" s="10"/>
      <c r="E3" s="2"/>
      <c r="F3" s="2"/>
      <c r="G3" s="2"/>
      <c r="H3" s="2"/>
    </row>
    <row r="4" spans="1:24" ht="42">
      <c r="A4" s="17" t="s">
        <v>48</v>
      </c>
      <c r="B4" s="17" t="s">
        <v>11</v>
      </c>
      <c r="C4" s="17" t="s">
        <v>49</v>
      </c>
      <c r="D4" s="17" t="s">
        <v>50</v>
      </c>
      <c r="E4" s="17" t="s">
        <v>51</v>
      </c>
      <c r="F4" s="17" t="s">
        <v>52</v>
      </c>
      <c r="G4" s="17" t="s">
        <v>53</v>
      </c>
      <c r="H4" s="17" t="s">
        <v>54</v>
      </c>
      <c r="I4" s="17" t="s">
        <v>55</v>
      </c>
      <c r="J4" s="17" t="s">
        <v>56</v>
      </c>
      <c r="K4" s="17" t="s">
        <v>57</v>
      </c>
      <c r="L4" s="17" t="s">
        <v>58</v>
      </c>
      <c r="M4" s="17" t="s">
        <v>59</v>
      </c>
      <c r="N4" s="17" t="s">
        <v>44</v>
      </c>
      <c r="O4" s="17" t="s">
        <v>60</v>
      </c>
      <c r="P4" s="17" t="s">
        <v>42</v>
      </c>
      <c r="Q4" s="17" t="s">
        <v>61</v>
      </c>
      <c r="R4" s="17" t="s">
        <v>62</v>
      </c>
      <c r="S4" s="17" t="s">
        <v>63</v>
      </c>
      <c r="T4" s="17" t="s">
        <v>64</v>
      </c>
      <c r="U4" s="17" t="s">
        <v>65</v>
      </c>
      <c r="V4" s="17" t="s">
        <v>66</v>
      </c>
      <c r="W4" s="17" t="s">
        <v>67</v>
      </c>
      <c r="X4" s="17" t="s">
        <v>68</v>
      </c>
    </row>
    <row r="5" spans="1:24">
      <c r="A5" s="18" t="s">
        <v>83</v>
      </c>
      <c r="B5" s="18" t="s">
        <v>30</v>
      </c>
      <c r="C5" s="18" t="s">
        <v>31</v>
      </c>
      <c r="D5" s="18" t="s">
        <v>87</v>
      </c>
      <c r="E5" s="39">
        <v>26221453.93</v>
      </c>
      <c r="F5" s="24"/>
      <c r="G5" s="24"/>
      <c r="H5" s="36">
        <v>1.1210098482840001</v>
      </c>
      <c r="I5" s="26">
        <f t="shared" ref="I5:I11" si="0">ROUND($E5*H5,6)</f>
        <v>29394508.091855001</v>
      </c>
      <c r="J5" s="25">
        <v>5.1512667653999998E-2</v>
      </c>
      <c r="K5" s="26">
        <f>$E5*J5</f>
        <v>1350737.0417007622</v>
      </c>
      <c r="L5" s="24"/>
      <c r="M5" s="24"/>
      <c r="N5" s="25">
        <v>0.331455</v>
      </c>
      <c r="O5" s="26">
        <f>$E5*N5</f>
        <v>8691232.0123681501</v>
      </c>
      <c r="P5" s="25">
        <f>ROUND(((F5+H5+J5+L5)/(1-0.25-0.0925))*0.0925,6)</f>
        <v>0.16495599999999999</v>
      </c>
      <c r="Q5" s="26">
        <f>$E5*P5</f>
        <v>4325386.1544770794</v>
      </c>
      <c r="R5" s="26">
        <f>G5+I5+K5+M5</f>
        <v>30745245.133555762</v>
      </c>
      <c r="S5" s="27">
        <v>1</v>
      </c>
      <c r="T5" s="28">
        <f>O5*S5</f>
        <v>8691232.0123681501</v>
      </c>
      <c r="U5" s="27">
        <v>0</v>
      </c>
      <c r="V5" s="26">
        <f>Q5*U5</f>
        <v>0</v>
      </c>
      <c r="W5" s="29">
        <f>T5+V5</f>
        <v>8691232.0123681501</v>
      </c>
      <c r="X5" s="29">
        <f>R5+W5</f>
        <v>39436477.145923913</v>
      </c>
    </row>
    <row r="6" spans="1:24">
      <c r="A6" s="18" t="s">
        <v>83</v>
      </c>
      <c r="B6" s="18" t="s">
        <v>32</v>
      </c>
      <c r="C6" s="18" t="s">
        <v>33</v>
      </c>
      <c r="D6" s="18" t="s">
        <v>88</v>
      </c>
      <c r="E6" s="39">
        <v>47440004.015547</v>
      </c>
      <c r="F6" s="24"/>
      <c r="G6" s="24"/>
      <c r="H6" s="25">
        <v>1.1210098482840001</v>
      </c>
      <c r="I6" s="26">
        <f t="shared" si="0"/>
        <v>53180711.704061002</v>
      </c>
      <c r="J6" s="25">
        <v>5.1512667653999998E-2</v>
      </c>
      <c r="K6" s="26">
        <f t="shared" ref="K6:M11" si="1">$E6*J6</f>
        <v>2443761.1603572979</v>
      </c>
      <c r="L6" s="24"/>
      <c r="M6" s="24"/>
      <c r="N6" s="25">
        <v>0.331455</v>
      </c>
      <c r="O6" s="26">
        <f t="shared" ref="O6:O11" si="2">$E6*N6</f>
        <v>15724226.530973131</v>
      </c>
      <c r="P6" s="25">
        <f>ROUND(((F6+H6+J6+L6)/(1-0.25-0.0925))*0.0925,6)</f>
        <v>0.16495599999999999</v>
      </c>
      <c r="Q6" s="26">
        <f t="shared" ref="Q6:Q11" si="3">$E6*P6</f>
        <v>7825513.3023885703</v>
      </c>
      <c r="R6" s="26">
        <f t="shared" ref="R6:R11" si="4">G6+I6+K6+M6</f>
        <v>55624472.864418298</v>
      </c>
      <c r="S6" s="27">
        <v>1</v>
      </c>
      <c r="T6" s="28">
        <f t="shared" ref="T6" si="5">O6*S6</f>
        <v>15724226.530973131</v>
      </c>
      <c r="U6" s="27">
        <v>0</v>
      </c>
      <c r="V6" s="26">
        <f t="shared" ref="V6" si="6">Q6*U6</f>
        <v>0</v>
      </c>
      <c r="W6" s="29">
        <f t="shared" ref="W6" si="7">T6+V6</f>
        <v>15724226.530973131</v>
      </c>
      <c r="X6" s="29">
        <f t="shared" ref="X6" si="8">R6+W6</f>
        <v>71348699.395391434</v>
      </c>
    </row>
    <row r="7" spans="1:24">
      <c r="A7" s="18" t="s">
        <v>83</v>
      </c>
      <c r="B7" s="37" t="s">
        <v>24</v>
      </c>
      <c r="C7" s="18" t="s">
        <v>25</v>
      </c>
      <c r="D7" s="18" t="s">
        <v>87</v>
      </c>
      <c r="E7" s="39">
        <v>12956500</v>
      </c>
      <c r="F7" s="24"/>
      <c r="G7" s="24"/>
      <c r="H7" s="25">
        <v>1.1210098482840001</v>
      </c>
      <c r="I7" s="26">
        <f t="shared" si="0"/>
        <v>14524364.099292001</v>
      </c>
      <c r="J7" s="25">
        <v>5.1512667653999998E-2</v>
      </c>
      <c r="K7" s="26">
        <f t="shared" si="1"/>
        <v>667423.87845905102</v>
      </c>
      <c r="L7" s="38">
        <v>0</v>
      </c>
      <c r="M7" s="26">
        <f t="shared" si="1"/>
        <v>0</v>
      </c>
      <c r="N7" s="25">
        <v>0.331455</v>
      </c>
      <c r="O7" s="26">
        <f t="shared" si="2"/>
        <v>4294496.7074999996</v>
      </c>
      <c r="P7" s="25">
        <f t="shared" ref="P7:P11" si="9">ROUND(((F7+H7+J7+L7)/(1-0.25-0.0925))*0.0925,6)</f>
        <v>0.16495599999999999</v>
      </c>
      <c r="Q7" s="26">
        <f t="shared" si="3"/>
        <v>2137252.4139999999</v>
      </c>
      <c r="R7" s="26">
        <f t="shared" si="4"/>
        <v>15191787.977751052</v>
      </c>
      <c r="S7" s="27">
        <v>1</v>
      </c>
      <c r="T7" s="28">
        <f t="shared" ref="T7:T11" si="10">O7*S7</f>
        <v>4294496.7074999996</v>
      </c>
      <c r="U7" s="27">
        <v>0</v>
      </c>
      <c r="V7" s="26">
        <f t="shared" ref="V7:V11" si="11">Q7*U7</f>
        <v>0</v>
      </c>
      <c r="W7" s="29">
        <f t="shared" ref="W7:W11" si="12">T7+V7</f>
        <v>4294496.7074999996</v>
      </c>
      <c r="X7" s="29">
        <f t="shared" ref="X7:X11" si="13">R7+W7</f>
        <v>19486284.68525105</v>
      </c>
    </row>
    <row r="8" spans="1:24">
      <c r="A8" s="18" t="s">
        <v>83</v>
      </c>
      <c r="B8" s="37" t="s">
        <v>22</v>
      </c>
      <c r="C8" s="18" t="s">
        <v>23</v>
      </c>
      <c r="D8" s="18" t="s">
        <v>87</v>
      </c>
      <c r="E8" s="39">
        <v>12823249.65</v>
      </c>
      <c r="F8" s="24"/>
      <c r="G8" s="24"/>
      <c r="H8" s="25">
        <v>1.1210098482840001</v>
      </c>
      <c r="I8" s="26">
        <f t="shared" si="0"/>
        <v>14374989.144654</v>
      </c>
      <c r="J8" s="25">
        <v>5.1512667653999998E-2</v>
      </c>
      <c r="K8" s="26">
        <f t="shared" si="1"/>
        <v>660559.79746472184</v>
      </c>
      <c r="L8" s="38">
        <v>0</v>
      </c>
      <c r="M8" s="26">
        <f t="shared" si="1"/>
        <v>0</v>
      </c>
      <c r="N8" s="25">
        <v>0.331455</v>
      </c>
      <c r="O8" s="26">
        <f t="shared" si="2"/>
        <v>4250330.2127407501</v>
      </c>
      <c r="P8" s="25">
        <f t="shared" si="9"/>
        <v>0.16495599999999999</v>
      </c>
      <c r="Q8" s="26">
        <f t="shared" si="3"/>
        <v>2115271.9692654</v>
      </c>
      <c r="R8" s="26">
        <f t="shared" si="4"/>
        <v>15035548.942118723</v>
      </c>
      <c r="S8" s="27">
        <v>1</v>
      </c>
      <c r="T8" s="28">
        <f t="shared" si="10"/>
        <v>4250330.2127407501</v>
      </c>
      <c r="U8" s="27">
        <v>0</v>
      </c>
      <c r="V8" s="26">
        <f t="shared" si="11"/>
        <v>0</v>
      </c>
      <c r="W8" s="29">
        <f t="shared" si="12"/>
        <v>4250330.2127407501</v>
      </c>
      <c r="X8" s="29">
        <f t="shared" si="13"/>
        <v>19285879.154859472</v>
      </c>
    </row>
    <row r="9" spans="1:24">
      <c r="A9" s="18" t="s">
        <v>83</v>
      </c>
      <c r="B9" s="37" t="s">
        <v>26</v>
      </c>
      <c r="C9" s="18" t="s">
        <v>84</v>
      </c>
      <c r="D9" s="18" t="s">
        <v>87</v>
      </c>
      <c r="E9" s="39">
        <v>13186432</v>
      </c>
      <c r="F9" s="24"/>
      <c r="G9" s="24"/>
      <c r="H9" s="25">
        <v>1.1210098482840001</v>
      </c>
      <c r="I9" s="26">
        <f t="shared" si="0"/>
        <v>14782120.135726999</v>
      </c>
      <c r="J9" s="25">
        <v>5.1512667653999998E-2</v>
      </c>
      <c r="K9" s="26">
        <f t="shared" si="1"/>
        <v>679268.28915807046</v>
      </c>
      <c r="L9" s="38">
        <v>0</v>
      </c>
      <c r="M9" s="26">
        <f t="shared" si="1"/>
        <v>0</v>
      </c>
      <c r="N9" s="25">
        <v>0.331455</v>
      </c>
      <c r="O9" s="26">
        <f t="shared" si="2"/>
        <v>4370708.8185599996</v>
      </c>
      <c r="P9" s="25">
        <f t="shared" si="9"/>
        <v>0.16495599999999999</v>
      </c>
      <c r="Q9" s="26">
        <f t="shared" si="3"/>
        <v>2175181.076992</v>
      </c>
      <c r="R9" s="26">
        <f t="shared" si="4"/>
        <v>15461388.42488507</v>
      </c>
      <c r="S9" s="27">
        <v>1</v>
      </c>
      <c r="T9" s="28">
        <f t="shared" si="10"/>
        <v>4370708.8185599996</v>
      </c>
      <c r="U9" s="27">
        <v>0</v>
      </c>
      <c r="V9" s="26">
        <f t="shared" si="11"/>
        <v>0</v>
      </c>
      <c r="W9" s="29">
        <f t="shared" si="12"/>
        <v>4370708.8185599996</v>
      </c>
      <c r="X9" s="29">
        <f t="shared" si="13"/>
        <v>19832097.243445069</v>
      </c>
    </row>
    <row r="10" spans="1:24">
      <c r="A10" s="18" t="s">
        <v>83</v>
      </c>
      <c r="B10" s="37" t="s">
        <v>28</v>
      </c>
      <c r="C10" s="18" t="s">
        <v>85</v>
      </c>
      <c r="D10" s="18" t="s">
        <v>87</v>
      </c>
      <c r="E10" s="39">
        <v>14105315.41</v>
      </c>
      <c r="F10" s="24"/>
      <c r="G10" s="24"/>
      <c r="H10" s="25">
        <v>1.1210098482840001</v>
      </c>
      <c r="I10" s="26">
        <f t="shared" si="0"/>
        <v>15812197.487762</v>
      </c>
      <c r="J10" s="25">
        <v>5.1512667653999998E-2</v>
      </c>
      <c r="K10" s="26">
        <f t="shared" si="1"/>
        <v>726602.42487017473</v>
      </c>
      <c r="L10" s="38">
        <v>0</v>
      </c>
      <c r="M10" s="26">
        <f t="shared" si="1"/>
        <v>0</v>
      </c>
      <c r="N10" s="25">
        <v>0.331455</v>
      </c>
      <c r="O10" s="26">
        <f t="shared" si="2"/>
        <v>4675277.3192215497</v>
      </c>
      <c r="P10" s="25">
        <f t="shared" si="9"/>
        <v>0.16495599999999999</v>
      </c>
      <c r="Q10" s="26">
        <f t="shared" si="3"/>
        <v>2326756.4087719601</v>
      </c>
      <c r="R10" s="26">
        <f t="shared" si="4"/>
        <v>16538799.912632175</v>
      </c>
      <c r="S10" s="27">
        <v>1</v>
      </c>
      <c r="T10" s="28">
        <f t="shared" si="10"/>
        <v>4675277.3192215497</v>
      </c>
      <c r="U10" s="27">
        <v>0</v>
      </c>
      <c r="V10" s="26">
        <f t="shared" si="11"/>
        <v>0</v>
      </c>
      <c r="W10" s="29">
        <f t="shared" si="12"/>
        <v>4675277.3192215497</v>
      </c>
      <c r="X10" s="29">
        <f t="shared" si="13"/>
        <v>21214077.231853724</v>
      </c>
    </row>
    <row r="11" spans="1:24">
      <c r="A11" s="18" t="s">
        <v>83</v>
      </c>
      <c r="B11" s="37" t="s">
        <v>27</v>
      </c>
      <c r="C11" s="18" t="s">
        <v>86</v>
      </c>
      <c r="D11" s="18" t="s">
        <v>87</v>
      </c>
      <c r="E11" s="39">
        <v>12605342.268999999</v>
      </c>
      <c r="F11" s="24"/>
      <c r="G11" s="24"/>
      <c r="H11" s="25">
        <v>1.1210098482840001</v>
      </c>
      <c r="I11" s="26">
        <f t="shared" si="0"/>
        <v>14130712.82454</v>
      </c>
      <c r="J11" s="25">
        <v>5.1512667653999998E-2</v>
      </c>
      <c r="K11" s="26">
        <f t="shared" si="1"/>
        <v>649334.80696791527</v>
      </c>
      <c r="L11" s="38">
        <v>0</v>
      </c>
      <c r="M11" s="26">
        <f t="shared" si="1"/>
        <v>0</v>
      </c>
      <c r="N11" s="25">
        <v>0.331455</v>
      </c>
      <c r="O11" s="26">
        <f t="shared" si="2"/>
        <v>4178103.7217713948</v>
      </c>
      <c r="P11" s="25">
        <f t="shared" si="9"/>
        <v>0.16495599999999999</v>
      </c>
      <c r="Q11" s="26">
        <f t="shared" si="3"/>
        <v>2079326.8393251637</v>
      </c>
      <c r="R11" s="26">
        <f t="shared" si="4"/>
        <v>14780047.631507916</v>
      </c>
      <c r="S11" s="27">
        <v>1</v>
      </c>
      <c r="T11" s="28">
        <f t="shared" si="10"/>
        <v>4178103.7217713948</v>
      </c>
      <c r="U11" s="27">
        <v>0</v>
      </c>
      <c r="V11" s="26">
        <f t="shared" si="11"/>
        <v>0</v>
      </c>
      <c r="W11" s="29">
        <f t="shared" si="12"/>
        <v>4178103.7217713948</v>
      </c>
      <c r="X11" s="29">
        <f t="shared" si="13"/>
        <v>18958151.353279311</v>
      </c>
    </row>
    <row r="12" spans="1:24">
      <c r="E12" s="4">
        <f>SUM(E5:E11)</f>
        <v>139338297.27454701</v>
      </c>
      <c r="X12" s="6">
        <f>SUM(X5:X11)</f>
        <v>209561666.210004</v>
      </c>
    </row>
  </sheetData>
  <conditionalFormatting sqref="C5:C6">
    <cfRule type="duplicateValues" dxfId="1" priority="1"/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32"/>
  <sheetViews>
    <sheetView showGridLines="0" workbookViewId="0">
      <selection activeCell="C30" sqref="C30"/>
    </sheetView>
  </sheetViews>
  <sheetFormatPr defaultColWidth="9.1640625" defaultRowHeight="14"/>
  <cols>
    <col min="1" max="1" width="26.58203125" customWidth="1"/>
    <col min="2" max="2" width="25.1640625" customWidth="1"/>
    <col min="3" max="5" width="23.6640625" customWidth="1"/>
    <col min="6" max="11" width="18.1640625" customWidth="1"/>
  </cols>
  <sheetData>
    <row r="1" spans="1:5" ht="49.5" customHeight="1">
      <c r="C1" s="11" t="s">
        <v>82</v>
      </c>
    </row>
    <row r="2" spans="1:5" ht="19.5" customHeight="1">
      <c r="C2" s="12" t="s">
        <v>45</v>
      </c>
      <c r="D2" s="10">
        <f>RESUMO!C2</f>
        <v>46143</v>
      </c>
    </row>
    <row r="3" spans="1:5" ht="15.5">
      <c r="A3" s="16"/>
      <c r="B3" s="3"/>
      <c r="C3" s="10"/>
      <c r="E3" s="2"/>
    </row>
    <row r="4" spans="1:5" ht="36" customHeight="1">
      <c r="A4" s="17" t="s">
        <v>48</v>
      </c>
      <c r="B4" s="17" t="s">
        <v>11</v>
      </c>
      <c r="C4" s="17" t="s">
        <v>49</v>
      </c>
      <c r="D4" s="17" t="s">
        <v>50</v>
      </c>
      <c r="E4" s="17" t="s">
        <v>69</v>
      </c>
    </row>
    <row r="5" spans="1:5">
      <c r="A5" s="18" t="s">
        <v>83</v>
      </c>
      <c r="B5" s="18" t="s">
        <v>13</v>
      </c>
      <c r="C5" s="18" t="s">
        <v>14</v>
      </c>
      <c r="D5" s="18" t="s">
        <v>35</v>
      </c>
      <c r="E5" s="39">
        <v>472577.04</v>
      </c>
    </row>
    <row r="6" spans="1:5">
      <c r="A6" s="18" t="s">
        <v>83</v>
      </c>
      <c r="B6" s="18" t="s">
        <v>15</v>
      </c>
      <c r="C6" s="18" t="s">
        <v>16</v>
      </c>
      <c r="D6" s="18" t="s">
        <v>35</v>
      </c>
      <c r="E6" s="39">
        <v>777766.08</v>
      </c>
    </row>
    <row r="7" spans="1:5">
      <c r="A7" s="18" t="s">
        <v>83</v>
      </c>
      <c r="B7" s="18" t="s">
        <v>17</v>
      </c>
      <c r="C7" s="18" t="s">
        <v>18</v>
      </c>
      <c r="D7" s="18" t="s">
        <v>35</v>
      </c>
      <c r="E7" s="39">
        <v>368215.44</v>
      </c>
    </row>
    <row r="8" spans="1:5">
      <c r="A8" s="18" t="s">
        <v>83</v>
      </c>
      <c r="B8" s="18" t="s">
        <v>19</v>
      </c>
      <c r="C8" s="18" t="s">
        <v>20</v>
      </c>
      <c r="D8" s="18" t="s">
        <v>35</v>
      </c>
      <c r="E8" s="39">
        <v>1149570</v>
      </c>
    </row>
    <row r="9" spans="1:5">
      <c r="A9" s="18" t="s">
        <v>83</v>
      </c>
      <c r="B9" s="18" t="s">
        <v>30</v>
      </c>
      <c r="C9" s="18" t="s">
        <v>31</v>
      </c>
      <c r="D9" s="18" t="s">
        <v>21</v>
      </c>
      <c r="E9" s="39">
        <v>26221453.93</v>
      </c>
    </row>
    <row r="10" spans="1:5">
      <c r="A10" s="18" t="s">
        <v>83</v>
      </c>
      <c r="B10" s="18" t="s">
        <v>32</v>
      </c>
      <c r="C10" s="18" t="s">
        <v>33</v>
      </c>
      <c r="D10" s="18" t="s">
        <v>21</v>
      </c>
      <c r="E10" s="39">
        <v>47859265.869999997</v>
      </c>
    </row>
    <row r="11" spans="1:5">
      <c r="A11" s="18" t="s">
        <v>83</v>
      </c>
      <c r="B11" s="18" t="s">
        <v>22</v>
      </c>
      <c r="C11" s="18" t="s">
        <v>23</v>
      </c>
      <c r="D11" s="18" t="s">
        <v>34</v>
      </c>
      <c r="E11" s="39">
        <v>12823249.65</v>
      </c>
    </row>
    <row r="12" spans="1:5">
      <c r="A12" s="18" t="s">
        <v>83</v>
      </c>
      <c r="B12" s="18" t="s">
        <v>24</v>
      </c>
      <c r="C12" s="18" t="s">
        <v>25</v>
      </c>
      <c r="D12" s="18" t="s">
        <v>34</v>
      </c>
      <c r="E12" s="39">
        <v>12956500</v>
      </c>
    </row>
    <row r="13" spans="1:5">
      <c r="A13" s="18" t="s">
        <v>83</v>
      </c>
      <c r="B13" s="18" t="s">
        <v>26</v>
      </c>
      <c r="C13" s="18" t="s">
        <v>91</v>
      </c>
      <c r="D13" s="18" t="s">
        <v>34</v>
      </c>
      <c r="E13" s="39">
        <v>13186432</v>
      </c>
    </row>
    <row r="14" spans="1:5">
      <c r="A14" s="18" t="s">
        <v>83</v>
      </c>
      <c r="B14" s="18" t="s">
        <v>29</v>
      </c>
      <c r="C14" s="18" t="s">
        <v>12</v>
      </c>
      <c r="D14" s="18" t="s">
        <v>36</v>
      </c>
      <c r="E14" s="39">
        <v>3201520</v>
      </c>
    </row>
    <row r="15" spans="1:5">
      <c r="A15" s="18" t="s">
        <v>83</v>
      </c>
      <c r="B15" s="18" t="s">
        <v>27</v>
      </c>
      <c r="C15" s="18" t="s">
        <v>90</v>
      </c>
      <c r="D15" s="18" t="s">
        <v>34</v>
      </c>
      <c r="E15" s="39">
        <v>12605342.268999999</v>
      </c>
    </row>
    <row r="16" spans="1:5">
      <c r="A16" s="18" t="s">
        <v>83</v>
      </c>
      <c r="B16" s="18" t="s">
        <v>28</v>
      </c>
      <c r="C16" s="18" t="s">
        <v>89</v>
      </c>
      <c r="D16" s="18" t="s">
        <v>34</v>
      </c>
      <c r="E16" s="39">
        <v>14105315.41</v>
      </c>
    </row>
    <row r="17" spans="1:11">
      <c r="E17" s="15">
        <f>SUM(E5:E16)</f>
        <v>145727207.68900001</v>
      </c>
    </row>
    <row r="21" spans="1:11" ht="36" customHeight="1">
      <c r="C21" s="17" t="s">
        <v>70</v>
      </c>
      <c r="D21" s="17" t="s">
        <v>71</v>
      </c>
      <c r="E21" s="17" t="s">
        <v>72</v>
      </c>
      <c r="G21" s="4"/>
      <c r="J21" s="5"/>
      <c r="K21" s="5"/>
    </row>
    <row r="22" spans="1:11">
      <c r="A22" s="5"/>
      <c r="B22" s="5"/>
      <c r="C22" s="19">
        <f>5500000*(DAY(EOMONTH(D2,0)))</f>
        <v>170500000</v>
      </c>
      <c r="D22" s="19">
        <f>5420000*(DAY(EOMONTH(D2,0)))</f>
        <v>168020000</v>
      </c>
      <c r="E22" s="19">
        <f>E17</f>
        <v>145727207.68900001</v>
      </c>
      <c r="F22" s="5"/>
      <c r="G22" s="5"/>
      <c r="H22" s="5"/>
      <c r="I22" s="5"/>
      <c r="J22" s="5"/>
      <c r="K22" s="5"/>
    </row>
    <row r="23" spans="1:11">
      <c r="C23" s="19">
        <f>2178213.4*(DAY(EOMONTH(D2,0)))</f>
        <v>67524615.399999991</v>
      </c>
      <c r="D23" s="19">
        <f>2098213.4*(DAY(EOMONTH(D2,0)))</f>
        <v>65044615.399999999</v>
      </c>
      <c r="E23" s="19">
        <f>SUM(E5:E8,E11:E16)</f>
        <v>71646487.888999999</v>
      </c>
      <c r="F23" s="5"/>
      <c r="G23" s="7"/>
    </row>
    <row r="24" spans="1:11">
      <c r="F24" s="6"/>
    </row>
    <row r="25" spans="1:11" ht="53.25" customHeight="1">
      <c r="A25" s="17" t="s">
        <v>48</v>
      </c>
      <c r="B25" s="17" t="s">
        <v>73</v>
      </c>
      <c r="C25" s="17" t="s">
        <v>74</v>
      </c>
      <c r="D25" s="17" t="s">
        <v>75</v>
      </c>
      <c r="E25" s="17" t="s">
        <v>76</v>
      </c>
      <c r="F25" s="17" t="s">
        <v>43</v>
      </c>
      <c r="G25" s="17" t="s">
        <v>77</v>
      </c>
      <c r="H25" s="17" t="s">
        <v>78</v>
      </c>
      <c r="I25" s="17" t="s">
        <v>65</v>
      </c>
      <c r="J25" s="17" t="s">
        <v>79</v>
      </c>
      <c r="K25" s="17" t="s">
        <v>80</v>
      </c>
    </row>
    <row r="26" spans="1:11">
      <c r="A26" s="18" t="s">
        <v>21</v>
      </c>
      <c r="B26" s="18" t="s">
        <v>37</v>
      </c>
      <c r="C26" s="40">
        <f>ROUND(IF($E$22&gt;=MIN($C$22,$D$22),0,MIN($C$22,$D$22)-$E$22),2)</f>
        <v>22292792.309999999</v>
      </c>
      <c r="D26" s="20">
        <v>1.235272560092562</v>
      </c>
      <c r="E26" s="20">
        <f>D26/(1-0.0925)</f>
        <v>1.3611818843995174</v>
      </c>
      <c r="F26" s="20">
        <f>E26*0.0925</f>
        <v>0.12590932430695537</v>
      </c>
      <c r="G26" s="21">
        <f>C26*F26</f>
        <v>2806870.4166673906</v>
      </c>
      <c r="H26" s="21">
        <f>C26*D26</f>
        <v>27537674.628385477</v>
      </c>
      <c r="I26" s="22">
        <v>1</v>
      </c>
      <c r="J26" s="23">
        <f>G26*I26</f>
        <v>2806870.4166673906</v>
      </c>
      <c r="K26" s="21">
        <f>H26+J26</f>
        <v>30344545.045052867</v>
      </c>
    </row>
    <row r="27" spans="1:11">
      <c r="A27" s="18" t="s">
        <v>21</v>
      </c>
      <c r="B27" s="18" t="s">
        <v>38</v>
      </c>
      <c r="C27" s="41">
        <f>IF($E$22&gt;=MIN($C$22,$D$22)*0.8,0,IF(E23&gt;=MIN(C23,D23)*0.8,0,MIN(MIN($C$22,$D$22)*0.8-E22,MIN(C23,D23)*0.8-E23)))</f>
        <v>0</v>
      </c>
      <c r="D27" s="20">
        <v>0.36514765468870525</v>
      </c>
      <c r="E27" s="20">
        <f>D27/(1-0.0925)</f>
        <v>0.40236656164044654</v>
      </c>
      <c r="F27" s="20">
        <f>E27*0.0925</f>
        <v>3.7218906951741307E-2</v>
      </c>
      <c r="G27" s="21">
        <f>C27*F27</f>
        <v>0</v>
      </c>
      <c r="H27" s="21">
        <f>C27*D27</f>
        <v>0</v>
      </c>
      <c r="I27" s="22">
        <v>1</v>
      </c>
      <c r="J27" s="23">
        <f>G27*I27</f>
        <v>0</v>
      </c>
      <c r="K27" s="21">
        <f>H27+J27</f>
        <v>0</v>
      </c>
    </row>
    <row r="28" spans="1:11">
      <c r="E28" s="8"/>
      <c r="F28" s="9"/>
    </row>
    <row r="29" spans="1:11" ht="53.25" customHeight="1">
      <c r="A29" s="17" t="s">
        <v>48</v>
      </c>
      <c r="B29" s="17" t="s">
        <v>73</v>
      </c>
      <c r="C29" s="17" t="s">
        <v>74</v>
      </c>
      <c r="D29" s="17" t="s">
        <v>75</v>
      </c>
      <c r="E29" s="17" t="s">
        <v>76</v>
      </c>
      <c r="F29" s="17" t="s">
        <v>43</v>
      </c>
      <c r="G29" s="17" t="s">
        <v>77</v>
      </c>
      <c r="H29" s="17" t="s">
        <v>78</v>
      </c>
      <c r="I29" s="17" t="s">
        <v>65</v>
      </c>
      <c r="J29" s="17" t="s">
        <v>79</v>
      </c>
      <c r="K29" s="17" t="s">
        <v>80</v>
      </c>
    </row>
    <row r="30" spans="1:11">
      <c r="A30" s="18" t="s">
        <v>21</v>
      </c>
      <c r="B30" s="18" t="s">
        <v>39</v>
      </c>
      <c r="C30" s="40">
        <f>ROUND(IF($E$22&gt;=MIN($C$22,$D$22),0,MIN($C$22,$D$22)-$E$22),2)</f>
        <v>22292792.309999999</v>
      </c>
      <c r="D30" s="35">
        <v>5.1512667653999998E-2</v>
      </c>
      <c r="E30" s="20">
        <f>D30/((1-0.0925))</f>
        <v>5.6763270142148763E-2</v>
      </c>
      <c r="F30" s="20">
        <f>E30*0.0925</f>
        <v>5.2506024881487602E-3</v>
      </c>
      <c r="G30" s="21">
        <f>ROUND(C30*E30*0.0925,6)</f>
        <v>117050.590771</v>
      </c>
      <c r="H30" s="21">
        <f>ROUND(C30*D30,6)</f>
        <v>1148361.201345</v>
      </c>
      <c r="I30" s="22">
        <v>1</v>
      </c>
      <c r="J30" s="23">
        <f>G30*I30</f>
        <v>117050.590771</v>
      </c>
      <c r="K30" s="21">
        <f>C30*D30+J30</f>
        <v>1265411.7921156767</v>
      </c>
    </row>
    <row r="31" spans="1:11" s="13" customFormat="1"/>
    <row r="32" spans="1:11">
      <c r="K32" s="14">
        <f>K26+K27+K30</f>
        <v>31609956.837168545</v>
      </c>
    </row>
  </sheetData>
  <conditionalFormatting sqref="C5:C16">
    <cfRule type="duplicateValues" dxfId="0" priority="2"/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RESUMO</vt:lpstr>
      <vt:lpstr>GÁS NATURAL</vt:lpstr>
      <vt:lpstr>GÁS ACESSÓRIAS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Mariana Zucchi</dc:creator>
  <cp:lastModifiedBy>Gabriela Pantoja Passos</cp:lastModifiedBy>
  <dcterms:created xsi:type="dcterms:W3CDTF">2019-06-14T19:24:40Z</dcterms:created>
  <dcterms:modified xsi:type="dcterms:W3CDTF">2026-07-15T14:50:28Z</dcterms:modified>
</cp:coreProperties>
</file>