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Z:\GCSE\CONTA CCC\1 OPERAÇÕES\2026\05.Maio26\CTG\6. PUBLICAÇÃO\"/>
    </mc:Choice>
  </mc:AlternateContent>
  <xr:revisionPtr revIDLastSave="0" documentId="13_ncr:1_{5DEE5FAB-1E30-49CD-97BA-15C9256BE20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SUMO" sheetId="1" r:id="rId1"/>
    <sheet name="COMBUSTÍVEL OD" sheetId="2" r:id="rId2"/>
    <sheet name="FRETE" sheetId="4" r:id="rId3"/>
    <sheet name="GERAÇÃO PRÓPRIA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3" l="1"/>
  <c r="D2" i="4"/>
  <c r="D2" i="2"/>
  <c r="C1" i="4" l="1"/>
  <c r="C1" i="3"/>
  <c r="C1" i="2"/>
  <c r="J5" i="3" l="1"/>
  <c r="E6" i="3"/>
  <c r="C9" i="1" s="1"/>
  <c r="I5" i="2"/>
  <c r="K5" i="2" s="1"/>
  <c r="C13" i="1" l="1"/>
  <c r="F5" i="4"/>
  <c r="R5" i="2" l="1"/>
  <c r="M5" i="2"/>
  <c r="O5" i="2"/>
  <c r="P5" i="2" s="1"/>
  <c r="I5" i="4"/>
  <c r="L5" i="4" s="1"/>
  <c r="S5" i="2" l="1"/>
  <c r="U5" i="2" s="1"/>
  <c r="V5" i="2" s="1"/>
  <c r="J5" i="4"/>
  <c r="M5" i="4" s="1"/>
  <c r="M6" i="4" s="1"/>
  <c r="C8" i="1" s="1"/>
  <c r="Z5" i="2" l="1"/>
  <c r="Y5" i="2"/>
  <c r="AA5" i="2" s="1"/>
  <c r="AB5" i="2" s="1"/>
  <c r="AB6" i="2" s="1"/>
  <c r="C5" i="1" s="1"/>
  <c r="H5" i="3" l="1"/>
  <c r="K5" i="3" s="1"/>
  <c r="K6" i="3" s="1"/>
  <c r="C6" i="1" s="1"/>
  <c r="C4" i="1" l="1"/>
  <c r="C14" i="1" l="1"/>
  <c r="C15" i="1" s="1"/>
  <c r="C17" i="1" l="1"/>
</calcChain>
</file>

<file path=xl/sharedStrings.xml><?xml version="1.0" encoding="utf-8"?>
<sst xmlns="http://schemas.openxmlformats.org/spreadsheetml/2006/main" count="101" uniqueCount="73">
  <si>
    <t>REEMBOLSO MENSAL</t>
  </si>
  <si>
    <t>REEMBOLSO PRELIMINAR</t>
  </si>
  <si>
    <t>REEMBOLSO MENSAL EFETIVO</t>
  </si>
  <si>
    <t>R$</t>
  </si>
  <si>
    <t>CEG</t>
  </si>
  <si>
    <t>O&amp;M 
(R$)</t>
  </si>
  <si>
    <t>GERAÇÃO MENSAL TOTAL</t>
  </si>
  <si>
    <t>MWh</t>
  </si>
  <si>
    <t>COMPENSAÇÃO</t>
  </si>
  <si>
    <t>ACRméd</t>
  </si>
  <si>
    <t>R$/MWh</t>
  </si>
  <si>
    <t>FATOR DE CORTE</t>
  </si>
  <si>
    <t xml:space="preserve"> - </t>
  </si>
  <si>
    <t>CELPE</t>
  </si>
  <si>
    <t>UTE.PE.PE.002887-8.01</t>
  </si>
  <si>
    <t>TUBARÃO</t>
  </si>
  <si>
    <t>FERNANDO DE NORONHA (DISTRITO ES)</t>
  </si>
  <si>
    <t>PERNAMBUCO</t>
  </si>
  <si>
    <t>PIS / COFINS (%)</t>
  </si>
  <si>
    <t>PIS / COFINS (R$)</t>
  </si>
  <si>
    <t>CUSTO TOTAL DA GERAÇÃO</t>
  </si>
  <si>
    <t>DESCONTO ACR MÉDIO</t>
  </si>
  <si>
    <t>DESCONTO FATOR DE CORTE</t>
  </si>
  <si>
    <t>ICMS NF (R$/l)</t>
  </si>
  <si>
    <t>PIS / COFINS NF (R$/l)</t>
  </si>
  <si>
    <t>PIS / COFINS ANP
(R$)</t>
  </si>
  <si>
    <t>ICMS ANP
(R$)</t>
  </si>
  <si>
    <t>Óleo Diesel/Biodiesel</t>
  </si>
  <si>
    <t>competência:</t>
  </si>
  <si>
    <t>reembolso mensal CCC - CELPE</t>
  </si>
  <si>
    <t>1 - combustível</t>
  </si>
  <si>
    <t>2 - geração própria</t>
  </si>
  <si>
    <t>3 - contrato</t>
  </si>
  <si>
    <t>4 - frete</t>
  </si>
  <si>
    <t>beneficiário</t>
  </si>
  <si>
    <t>usina</t>
  </si>
  <si>
    <t>localidade</t>
  </si>
  <si>
    <t>localidade ANP</t>
  </si>
  <si>
    <t>combustível</t>
  </si>
  <si>
    <t>combustível eficiente
(L)</t>
  </si>
  <si>
    <t xml:space="preserve">preço ANP
(R$) </t>
  </si>
  <si>
    <t>preço ANP sem impostos
(R$)</t>
  </si>
  <si>
    <t>total combustível NFs (L)</t>
  </si>
  <si>
    <t>total NF (R$)</t>
  </si>
  <si>
    <t>preço NF sem ICMS (R$/l)</t>
  </si>
  <si>
    <t>total PIS/Cofins NF (R$)</t>
  </si>
  <si>
    <t>total ICMS NF
(R$)</t>
  </si>
  <si>
    <t>liminar</t>
  </si>
  <si>
    <t>preço unitário
(R$/l)</t>
  </si>
  <si>
    <t>custo OD
(R$)</t>
  </si>
  <si>
    <t>% ICMS não recuperado</t>
  </si>
  <si>
    <t>% PIS / COFINS não recuperado</t>
  </si>
  <si>
    <t>custo ICMS
(R$/l)</t>
  </si>
  <si>
    <t>custo PIS / COFINS
(R$/l)</t>
  </si>
  <si>
    <t>custo tributo (R$)</t>
  </si>
  <si>
    <t>custo total OD (R$)</t>
  </si>
  <si>
    <t>combustível eficiente (L)</t>
  </si>
  <si>
    <t>qtd. litros transportado</t>
  </si>
  <si>
    <t>valor unitário NF</t>
  </si>
  <si>
    <t>total NF frete</t>
  </si>
  <si>
    <t>total sem impostos (R$)</t>
  </si>
  <si>
    <t>% não recuperado de PIS / COFINS (R$)</t>
  </si>
  <si>
    <t>custo PIS / COFINS  (R$)</t>
  </si>
  <si>
    <t>custo Total frete (R$)</t>
  </si>
  <si>
    <t>potência homologada 
(MW)</t>
  </si>
  <si>
    <t>geração 
(MWh)</t>
  </si>
  <si>
    <t>O&amp;M total 
(R$)</t>
  </si>
  <si>
    <t>equipamento próprio</t>
  </si>
  <si>
    <t>receita fixa
(R$)</t>
  </si>
  <si>
    <t>receita fixa EP
Total 
(R$)</t>
  </si>
  <si>
    <t>custo total
(R$)</t>
  </si>
  <si>
    <t>preço NF tributos (R$/l)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</si>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</sst>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/m/yy\ h:mm;@"/>
    <numFmt numFmtId="165" formatCode="mmmm/yyyy"/>
    <numFmt numFmtId="166" formatCode="_-* #,##0.000_-;\-* #,##0.000_-;_-* &quot;-&quot;??_-;_-@_-"/>
    <numFmt numFmtId="167" formatCode="#,##0.0000"/>
  </numFmts>
  <fonts count="12">
    <font>
      <sz val="11"/>
      <color theme="1"/>
      <name val="Inter"/>
      <family val="2"/>
      <scheme val="minor"/>
    </font>
    <font>
      <sz val="11"/>
      <color theme="1"/>
      <name val="Inter"/>
      <family val="2"/>
      <scheme val="minor"/>
    </font>
    <font>
      <b/>
      <sz val="11"/>
      <color theme="0"/>
      <name val="Inter"/>
      <family val="2"/>
      <scheme val="minor"/>
    </font>
    <font>
      <b/>
      <i/>
      <sz val="12"/>
      <color rgb="FF002060"/>
      <name val="Inter"/>
      <family val="2"/>
      <scheme val="minor"/>
    </font>
    <font>
      <b/>
      <i/>
      <sz val="12"/>
      <name val="Inter"/>
      <family val="2"/>
      <scheme val="minor"/>
    </font>
    <font>
      <b/>
      <i/>
      <sz val="12"/>
      <color theme="1"/>
      <name val="Inter"/>
      <family val="2"/>
      <scheme val="minor"/>
    </font>
    <font>
      <b/>
      <i/>
      <sz val="22"/>
      <color theme="4"/>
      <name val="Inter"/>
      <family val="2"/>
      <scheme val="minor"/>
    </font>
    <font>
      <b/>
      <i/>
      <sz val="12"/>
      <color theme="4"/>
      <name val="Inter"/>
      <family val="2"/>
      <scheme val="minor"/>
    </font>
    <font>
      <b/>
      <sz val="11"/>
      <color theme="4"/>
      <name val="Inter"/>
      <family val="2"/>
      <scheme val="minor"/>
    </font>
    <font>
      <sz val="11"/>
      <color theme="4"/>
      <name val="Inter"/>
      <family val="3"/>
      <scheme val="minor"/>
    </font>
    <font>
      <sz val="11"/>
      <color theme="4"/>
      <name val="Inter"/>
      <family val="2"/>
      <scheme val="minor"/>
    </font>
    <font>
      <b/>
      <u val="double"/>
      <sz val="11"/>
      <color theme="4"/>
      <name val="Inter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Alignment="1">
      <alignment horizontal="right" vertical="top"/>
    </xf>
    <xf numFmtId="4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43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165" fontId="5" fillId="0" borderId="0" xfId="0" applyNumberFormat="1" applyFont="1" applyAlignment="1">
      <alignment horizontal="center" vertical="top"/>
    </xf>
    <xf numFmtId="165" fontId="5" fillId="0" borderId="0" xfId="0" applyNumberFormat="1" applyFont="1" applyAlignment="1">
      <alignment horizontal="center" vertical="center"/>
    </xf>
    <xf numFmtId="43" fontId="0" fillId="0" borderId="0" xfId="0" applyNumberFormat="1"/>
    <xf numFmtId="43" fontId="0" fillId="0" borderId="0" xfId="3" applyFont="1" applyBorder="1"/>
    <xf numFmtId="14" fontId="0" fillId="0" borderId="0" xfId="0" applyNumberFormat="1"/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vertical="center"/>
    </xf>
    <xf numFmtId="4" fontId="10" fillId="0" borderId="0" xfId="0" applyNumberFormat="1" applyFont="1" applyAlignment="1">
      <alignment vertical="center"/>
    </xf>
    <xf numFmtId="4" fontId="10" fillId="0" borderId="0" xfId="0" applyNumberFormat="1" applyFont="1" applyAlignment="1">
      <alignment horizontal="center" vertical="center"/>
    </xf>
    <xf numFmtId="9" fontId="10" fillId="0" borderId="0" xfId="0" applyNumberFormat="1" applyFont="1" applyAlignment="1">
      <alignment vertical="center"/>
    </xf>
    <xf numFmtId="4" fontId="8" fillId="0" borderId="0" xfId="0" applyNumberFormat="1" applyFont="1" applyAlignment="1">
      <alignment vertical="center"/>
    </xf>
    <xf numFmtId="4" fontId="11" fillId="0" borderId="0" xfId="0" applyNumberFormat="1" applyFont="1" applyAlignment="1">
      <alignment vertical="center"/>
    </xf>
    <xf numFmtId="0" fontId="10" fillId="0" borderId="0" xfId="0" applyFont="1"/>
    <xf numFmtId="3" fontId="11" fillId="0" borderId="0" xfId="0" applyNumberFormat="1" applyFont="1" applyAlignment="1">
      <alignment vertical="center"/>
    </xf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3" fontId="0" fillId="0" borderId="4" xfId="0" applyNumberFormat="1" applyBorder="1" applyAlignment="1">
      <alignment vertical="center"/>
    </xf>
    <xf numFmtId="167" fontId="0" fillId="0" borderId="4" xfId="0" applyNumberFormat="1" applyBorder="1" applyAlignment="1">
      <alignment vertical="center"/>
    </xf>
    <xf numFmtId="4" fontId="0" fillId="0" borderId="4" xfId="0" applyNumberFormat="1" applyBorder="1" applyAlignment="1">
      <alignment vertical="center"/>
    </xf>
    <xf numFmtId="4" fontId="0" fillId="0" borderId="4" xfId="0" applyNumberFormat="1" applyBorder="1" applyAlignment="1">
      <alignment horizontal="center" vertical="center"/>
    </xf>
    <xf numFmtId="9" fontId="0" fillId="0" borderId="4" xfId="0" applyNumberFormat="1" applyBorder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4" fontId="8" fillId="2" borderId="4" xfId="0" applyNumberFormat="1" applyFont="1" applyFill="1" applyBorder="1" applyAlignment="1">
      <alignment horizontal="center" vertical="center" wrapText="1"/>
    </xf>
    <xf numFmtId="9" fontId="8" fillId="2" borderId="4" xfId="0" applyNumberFormat="1" applyFont="1" applyFill="1" applyBorder="1" applyAlignment="1">
      <alignment horizontal="center" vertical="center" wrapText="1"/>
    </xf>
    <xf numFmtId="3" fontId="0" fillId="0" borderId="4" xfId="0" applyNumberFormat="1" applyBorder="1" applyAlignment="1">
      <alignment horizontal="right" vertical="center"/>
    </xf>
    <xf numFmtId="43" fontId="0" fillId="0" borderId="4" xfId="3" applyFont="1" applyBorder="1" applyAlignment="1">
      <alignment horizontal="right" vertical="center"/>
    </xf>
    <xf numFmtId="10" fontId="0" fillId="0" borderId="4" xfId="4" applyNumberFormat="1" applyFont="1" applyBorder="1" applyAlignment="1">
      <alignment horizontal="right" vertical="center"/>
    </xf>
    <xf numFmtId="43" fontId="0" fillId="0" borderId="4" xfId="3" applyFont="1" applyBorder="1" applyAlignment="1">
      <alignment vertical="center"/>
    </xf>
    <xf numFmtId="9" fontId="0" fillId="0" borderId="4" xfId="4" applyFont="1" applyBorder="1" applyAlignment="1">
      <alignment vertical="center"/>
    </xf>
    <xf numFmtId="43" fontId="8" fillId="2" borderId="4" xfId="0" applyNumberFormat="1" applyFont="1" applyFill="1" applyBorder="1" applyAlignment="1">
      <alignment horizontal="center" vertical="center" wrapText="1"/>
    </xf>
    <xf numFmtId="43" fontId="0" fillId="0" borderId="4" xfId="0" applyNumberFormat="1" applyBorder="1" applyAlignment="1">
      <alignment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/>
    </xf>
    <xf numFmtId="43" fontId="8" fillId="2" borderId="4" xfId="0" applyNumberFormat="1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43" fontId="0" fillId="0" borderId="4" xfId="0" applyNumberFormat="1" applyBorder="1" applyAlignment="1">
      <alignment horizontal="right" vertical="center"/>
    </xf>
    <xf numFmtId="166" fontId="0" fillId="0" borderId="4" xfId="0" applyNumberFormat="1" applyBorder="1" applyAlignment="1">
      <alignment horizontal="right" vertical="center"/>
    </xf>
    <xf numFmtId="0" fontId="9" fillId="3" borderId="4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center" vertical="center"/>
    </xf>
    <xf numFmtId="43" fontId="9" fillId="3" borderId="4" xfId="0" applyNumberFormat="1" applyFont="1" applyFill="1" applyBorder="1" applyAlignment="1">
      <alignment horizontal="right" vertical="center"/>
    </xf>
    <xf numFmtId="43" fontId="8" fillId="2" borderId="4" xfId="0" applyNumberFormat="1" applyFont="1" applyFill="1" applyBorder="1" applyAlignment="1">
      <alignment horizontal="right" vertical="center"/>
    </xf>
    <xf numFmtId="167" fontId="0" fillId="0" borderId="0" xfId="0" applyNumberFormat="1"/>
    <xf numFmtId="0" fontId="8" fillId="2" borderId="4" xfId="0" applyFont="1" applyFill="1" applyBorder="1" applyAlignment="1">
      <alignment horizontal="center" vertical="center" wrapText="1"/>
    </xf>
  </cellXfs>
  <cellStyles count="5">
    <cellStyle name="Moeda 2" xfId="2" xr:uid="{00000000-0005-0000-0000-000000000000}"/>
    <cellStyle name="Normal" xfId="0" builtinId="0"/>
    <cellStyle name="Porcentagem" xfId="4" builtinId="5"/>
    <cellStyle name="Vírgula" xfId="3" builtinId="3"/>
    <cellStyle name="Vírgula 2" xfId="1" xr:uid="{00000000-0005-0000-0000-000004000000}"/>
  </cellStyles>
  <dxfs count="0"/>
  <tableStyles count="1" defaultTableStyle="TableStyleMedium2" defaultPivotStyle="PivotStyleLight16">
    <tableStyle name="Invisible" pivot="0" table="0" count="0" xr9:uid="{B2713AE5-7417-4E2D-8496-382BEC465E78}"/>
  </tableStyles>
  <colors>
    <mruColors>
      <color rgb="FFFFCB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295277</xdr:colOff>
      <xdr:row>0</xdr:row>
      <xdr:rowOff>158751</xdr:rowOff>
    </xdr:from>
    <xdr:to>
      <xdr:col>0</xdr:col>
      <xdr:colOff>1609725</xdr:colOff>
      <xdr:row>0</xdr:row>
      <xdr:rowOff>580643</xdr:rowOff>
    </xdr:to>
    <xdr:pic>
      <xdr:nvPicPr>
        <xdr:cNvPr id="3" name="Imagem 2" descr="Ícone&#10;&#10;Descrição gerada automaticamente com confiança baixa">
          <a:extLst>
            <a:ext uri="{FF2B5EF4-FFF2-40B4-BE49-F238E27FC236}">
              <a16:creationId xmlns:a16="http://schemas.microsoft.com/office/drawing/2014/main" id="{F5331241-971B-481F-8DC5-3232FBF70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7" y="158751"/>
          <a:ext cx="1314448" cy="4218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295277</xdr:colOff>
      <xdr:row>0</xdr:row>
      <xdr:rowOff>158751</xdr:rowOff>
    </xdr:from>
    <xdr:to>
      <xdr:col>0</xdr:col>
      <xdr:colOff>1609725</xdr:colOff>
      <xdr:row>0</xdr:row>
      <xdr:rowOff>580643</xdr:rowOff>
    </xdr:to>
    <xdr:pic>
      <xdr:nvPicPr>
        <xdr:cNvPr id="3" name="Imagem 2" descr="Ícone&#10;&#10;Descrição gerada automaticamente com confiança baixa">
          <a:extLst>
            <a:ext uri="{FF2B5EF4-FFF2-40B4-BE49-F238E27FC236}">
              <a16:creationId xmlns:a16="http://schemas.microsoft.com/office/drawing/2014/main" id="{3B1C3F06-95B4-4956-B452-12E742FCB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7" y="158751"/>
          <a:ext cx="1314448" cy="4218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295277</xdr:colOff>
      <xdr:row>0</xdr:row>
      <xdr:rowOff>158751</xdr:rowOff>
    </xdr:from>
    <xdr:to>
      <xdr:col>0</xdr:col>
      <xdr:colOff>1606550</xdr:colOff>
      <xdr:row>0</xdr:row>
      <xdr:rowOff>583818</xdr:rowOff>
    </xdr:to>
    <xdr:pic>
      <xdr:nvPicPr>
        <xdr:cNvPr id="3" name="Imagem 2" descr="Ícone&#10;&#10;Descrição gerada automaticamente com confiança baixa">
          <a:extLst>
            <a:ext uri="{FF2B5EF4-FFF2-40B4-BE49-F238E27FC236}">
              <a16:creationId xmlns:a16="http://schemas.microsoft.com/office/drawing/2014/main" id="{CA7331C4-0315-4B09-A571-33AF6C875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7" y="158751"/>
          <a:ext cx="1314448" cy="4218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295277</xdr:colOff>
      <xdr:row>0</xdr:row>
      <xdr:rowOff>158751</xdr:rowOff>
    </xdr:from>
    <xdr:to>
      <xdr:col>0</xdr:col>
      <xdr:colOff>1609725</xdr:colOff>
      <xdr:row>0</xdr:row>
      <xdr:rowOff>580643</xdr:rowOff>
    </xdr:to>
    <xdr:pic>
      <xdr:nvPicPr>
        <xdr:cNvPr id="4" name="Imagem 3" descr="Ícone&#10;&#10;Descrição gerada automaticamente com confiança baixa">
          <a:extLst>
            <a:ext uri="{FF2B5EF4-FFF2-40B4-BE49-F238E27FC236}">
              <a16:creationId xmlns:a16="http://schemas.microsoft.com/office/drawing/2014/main" id="{182D81C3-D970-4854-8CB0-1D2D4A9B7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7" y="158751"/>
          <a:ext cx="1314448" cy="4218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CCEE1">
  <a:themeElements>
    <a:clrScheme name="Personalizada 1">
      <a:dk1>
        <a:srgbClr val="4C4C4C"/>
      </a:dk1>
      <a:lt1>
        <a:sysClr val="window" lastClr="FFFFFF"/>
      </a:lt1>
      <a:dk2>
        <a:srgbClr val="000C4C"/>
      </a:dk2>
      <a:lt2>
        <a:srgbClr val="B8DDE1"/>
      </a:lt2>
      <a:accent1>
        <a:srgbClr val="06038D"/>
      </a:accent1>
      <a:accent2>
        <a:srgbClr val="B8DDE1"/>
      </a:accent2>
      <a:accent3>
        <a:srgbClr val="000C4C"/>
      </a:accent3>
      <a:accent4>
        <a:srgbClr val="FFFFFF"/>
      </a:accent4>
      <a:accent5>
        <a:srgbClr val="4C4C4C"/>
      </a:accent5>
      <a:accent6>
        <a:srgbClr val="002060"/>
      </a:accent6>
      <a:hlink>
        <a:srgbClr val="4C4C4C"/>
      </a:hlink>
      <a:folHlink>
        <a:srgbClr val="00FFFF"/>
      </a:folHlink>
    </a:clrScheme>
    <a:fontScheme name="CCEE-fonte">
      <a:majorFont>
        <a:latin typeface="Inter Black"/>
        <a:ea typeface=""/>
        <a:cs typeface=""/>
      </a:majorFont>
      <a:minorFont>
        <a:latin typeface="Inter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showGridLines="0" tabSelected="1" topLeftCell="A7" workbookViewId="0">
      <selection activeCell="C17" sqref="C17"/>
    </sheetView>
  </sheetViews>
  <sheetFormatPr defaultColWidth="9.1640625" defaultRowHeight="19.5" customHeight="1"/>
  <cols>
    <col min="1" max="1" width="54.6640625" customWidth="1"/>
    <col min="2" max="2" width="15.6640625" customWidth="1"/>
    <col min="3" max="3" width="30.6640625" customWidth="1"/>
    <col min="4" max="4" width="12.83203125" bestFit="1" customWidth="1"/>
    <col min="5" max="5" width="14.1640625" customWidth="1"/>
    <col min="6" max="6" width="12.6640625" customWidth="1"/>
  </cols>
  <sheetData>
    <row r="1" spans="1:6" ht="49.5" customHeight="1">
      <c r="C1" s="17" t="s">
        <v>29</v>
      </c>
      <c r="F1" s="16"/>
    </row>
    <row r="2" spans="1:6" ht="19.5" customHeight="1">
      <c r="B2" s="19" t="s">
        <v>28</v>
      </c>
      <c r="C2" s="12">
        <v>46143</v>
      </c>
    </row>
    <row r="3" spans="1:6" ht="19.5" customHeight="1">
      <c r="B3" s="1"/>
      <c r="C3" s="12"/>
      <c r="F3" s="16"/>
    </row>
    <row r="4" spans="1:6" ht="30" customHeight="1">
      <c r="A4" s="48" t="s">
        <v>20</v>
      </c>
      <c r="B4" s="49" t="s">
        <v>3</v>
      </c>
      <c r="C4" s="50">
        <f>SUM(C5:C8)</f>
        <v>7820032.4215624835</v>
      </c>
    </row>
    <row r="5" spans="1:6" ht="19.5" customHeight="1">
      <c r="A5" s="51" t="s">
        <v>30</v>
      </c>
      <c r="B5" s="30" t="s">
        <v>3</v>
      </c>
      <c r="C5" s="52">
        <f>'COMBUSTÍVEL OD'!AB6</f>
        <v>4558942.026562483</v>
      </c>
      <c r="E5" s="15"/>
      <c r="F5" s="14"/>
    </row>
    <row r="6" spans="1:6" ht="19.5" customHeight="1">
      <c r="A6" s="51" t="s">
        <v>31</v>
      </c>
      <c r="B6" s="30" t="s">
        <v>3</v>
      </c>
      <c r="C6" s="52">
        <f>'GERAÇÃO PRÓPRIA'!K6</f>
        <v>1042933.52</v>
      </c>
      <c r="E6" s="15"/>
      <c r="F6" s="14"/>
    </row>
    <row r="7" spans="1:6" ht="19.5" customHeight="1">
      <c r="A7" s="51" t="s">
        <v>32</v>
      </c>
      <c r="B7" s="30" t="s">
        <v>3</v>
      </c>
      <c r="C7" s="52">
        <v>0</v>
      </c>
      <c r="E7" s="15"/>
      <c r="F7" s="14"/>
    </row>
    <row r="8" spans="1:6" ht="19.5" customHeight="1">
      <c r="A8" s="51" t="s">
        <v>33</v>
      </c>
      <c r="B8" s="30" t="s">
        <v>3</v>
      </c>
      <c r="C8" s="52">
        <f>FRETE!M6</f>
        <v>2218156.875</v>
      </c>
      <c r="E8" s="15"/>
      <c r="F8" s="14"/>
    </row>
    <row r="9" spans="1:6" ht="19.5" customHeight="1">
      <c r="A9" s="51" t="s">
        <v>6</v>
      </c>
      <c r="B9" s="30" t="s">
        <v>7</v>
      </c>
      <c r="C9" s="52">
        <f>'GERAÇÃO PRÓPRIA'!E6</f>
        <v>2972.9859999999999</v>
      </c>
      <c r="E9" s="15"/>
      <c r="F9" s="14"/>
    </row>
    <row r="10" spans="1:6" ht="19.5" customHeight="1">
      <c r="A10" s="51" t="s">
        <v>8</v>
      </c>
      <c r="B10" s="30" t="s">
        <v>3</v>
      </c>
      <c r="C10" s="52">
        <v>0</v>
      </c>
    </row>
    <row r="11" spans="1:6" ht="19.5" customHeight="1">
      <c r="A11" s="51" t="s">
        <v>9</v>
      </c>
      <c r="B11" s="30" t="s">
        <v>10</v>
      </c>
      <c r="C11" s="52">
        <v>342.71</v>
      </c>
      <c r="E11" s="14"/>
      <c r="F11" s="14"/>
    </row>
    <row r="12" spans="1:6" ht="19.5" customHeight="1">
      <c r="A12" s="51" t="s">
        <v>11</v>
      </c>
      <c r="B12" s="30" t="s">
        <v>12</v>
      </c>
      <c r="C12" s="53">
        <v>0.97299999999999998</v>
      </c>
      <c r="E12" s="14"/>
      <c r="F12" s="14"/>
    </row>
    <row r="13" spans="1:6" ht="19.5" customHeight="1">
      <c r="A13" s="54" t="s">
        <v>21</v>
      </c>
      <c r="B13" s="55" t="s">
        <v>3</v>
      </c>
      <c r="C13" s="56">
        <f>-ROUND(C9*C11,2)</f>
        <v>-1018872.03</v>
      </c>
      <c r="E13" s="14"/>
      <c r="F13" s="14"/>
    </row>
    <row r="14" spans="1:6" ht="19.5" customHeight="1">
      <c r="A14" s="54" t="s">
        <v>22</v>
      </c>
      <c r="B14" s="55" t="s">
        <v>3</v>
      </c>
      <c r="C14" s="56">
        <f>+ROUND((C4+C13)*(C12-1),2)</f>
        <v>-183631.33</v>
      </c>
      <c r="E14" s="14"/>
      <c r="F14" s="14"/>
    </row>
    <row r="15" spans="1:6" ht="19.5" customHeight="1">
      <c r="A15" s="48" t="s">
        <v>0</v>
      </c>
      <c r="B15" s="49" t="s">
        <v>3</v>
      </c>
      <c r="C15" s="57">
        <f>ROUND(C4+C13+C14,2)</f>
        <v>6617529.0599999996</v>
      </c>
      <c r="E15" s="14"/>
      <c r="F15" s="14"/>
    </row>
    <row r="16" spans="1:6" ht="19.5" customHeight="1">
      <c r="A16" s="48" t="s">
        <v>1</v>
      </c>
      <c r="B16" s="49" t="s">
        <v>3</v>
      </c>
      <c r="C16" s="57">
        <v>0</v>
      </c>
      <c r="E16" s="14"/>
      <c r="F16" s="14"/>
    </row>
    <row r="17" spans="1:6" ht="19.5" customHeight="1">
      <c r="A17" s="48" t="s">
        <v>2</v>
      </c>
      <c r="B17" s="49" t="s">
        <v>3</v>
      </c>
      <c r="C17" s="57">
        <f>C15-C16</f>
        <v>6617529.0599999996</v>
      </c>
      <c r="D17" s="15"/>
      <c r="E17" s="14"/>
      <c r="F17" s="14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8"/>
  <sheetViews>
    <sheetView showGridLines="0" workbookViewId="0">
      <selection activeCell="A4" sqref="A4"/>
    </sheetView>
  </sheetViews>
  <sheetFormatPr defaultRowHeight="19.5" customHeight="1"/>
  <cols>
    <col min="1" max="1" width="32.33203125" customWidth="1"/>
    <col min="2" max="2" width="24.1640625" customWidth="1"/>
    <col min="3" max="3" width="16.1640625" customWidth="1"/>
    <col min="4" max="4" width="36.6640625" customWidth="1"/>
    <col min="5" max="5" width="14.6640625" customWidth="1"/>
    <col min="6" max="6" width="20.6640625" customWidth="1"/>
    <col min="7" max="28" width="16.6640625" customWidth="1"/>
  </cols>
  <sheetData>
    <row r="1" spans="1:28" ht="49.5" customHeight="1">
      <c r="C1" s="18" t="str">
        <f>RESUMO!C1</f>
        <v>reembolso mensal CCC - CELPE</v>
      </c>
    </row>
    <row r="2" spans="1:28" ht="30" customHeight="1">
      <c r="A2" s="5"/>
      <c r="C2" s="19" t="s">
        <v>28</v>
      </c>
      <c r="D2" s="13">
        <f>RESUMO!C2</f>
        <v>46143</v>
      </c>
      <c r="E2" s="3"/>
      <c r="F2" s="3"/>
      <c r="G2" s="3"/>
      <c r="H2" s="3"/>
    </row>
    <row r="3" spans="1:28" ht="15.5">
      <c r="A3" s="5"/>
      <c r="C3" s="4"/>
      <c r="D3" s="13"/>
      <c r="E3" s="3"/>
      <c r="F3" s="3"/>
      <c r="G3" s="3"/>
      <c r="H3" s="3"/>
    </row>
    <row r="4" spans="1:28" ht="42">
      <c r="A4" s="37" t="s">
        <v>34</v>
      </c>
      <c r="B4" s="37" t="s">
        <v>4</v>
      </c>
      <c r="C4" s="37" t="s">
        <v>35</v>
      </c>
      <c r="D4" s="37" t="s">
        <v>36</v>
      </c>
      <c r="E4" s="37" t="s">
        <v>37</v>
      </c>
      <c r="F4" s="37" t="s">
        <v>38</v>
      </c>
      <c r="G4" s="38" t="s">
        <v>39</v>
      </c>
      <c r="H4" s="39" t="s">
        <v>40</v>
      </c>
      <c r="I4" s="39" t="s">
        <v>25</v>
      </c>
      <c r="J4" s="39" t="s">
        <v>26</v>
      </c>
      <c r="K4" s="39" t="s">
        <v>41</v>
      </c>
      <c r="L4" s="39" t="s">
        <v>42</v>
      </c>
      <c r="M4" s="39" t="s">
        <v>43</v>
      </c>
      <c r="N4" s="39" t="s">
        <v>44</v>
      </c>
      <c r="O4" s="39" t="s">
        <v>24</v>
      </c>
      <c r="P4" s="39" t="s">
        <v>45</v>
      </c>
      <c r="Q4" s="39" t="s">
        <v>23</v>
      </c>
      <c r="R4" s="39" t="s">
        <v>46</v>
      </c>
      <c r="S4" s="39" t="s">
        <v>71</v>
      </c>
      <c r="T4" s="39" t="s">
        <v>47</v>
      </c>
      <c r="U4" s="39" t="s">
        <v>48</v>
      </c>
      <c r="V4" s="39" t="s">
        <v>49</v>
      </c>
      <c r="W4" s="40" t="s">
        <v>50</v>
      </c>
      <c r="X4" s="40" t="s">
        <v>51</v>
      </c>
      <c r="Y4" s="39" t="s">
        <v>52</v>
      </c>
      <c r="Z4" s="39" t="s">
        <v>53</v>
      </c>
      <c r="AA4" s="39" t="s">
        <v>54</v>
      </c>
      <c r="AB4" s="39" t="s">
        <v>55</v>
      </c>
    </row>
    <row r="5" spans="1:28" ht="19.5" customHeight="1">
      <c r="A5" s="30" t="s">
        <v>13</v>
      </c>
      <c r="B5" s="30" t="s">
        <v>14</v>
      </c>
      <c r="C5" s="30" t="s">
        <v>15</v>
      </c>
      <c r="D5" s="30" t="s">
        <v>16</v>
      </c>
      <c r="E5" s="30" t="s">
        <v>17</v>
      </c>
      <c r="F5" s="31" t="s">
        <v>27</v>
      </c>
      <c r="G5" s="32">
        <v>768750</v>
      </c>
      <c r="H5" s="33">
        <v>6.4420000000000002</v>
      </c>
      <c r="I5" s="34">
        <f>(H5-J5)*0.0925</f>
        <v>0.48766000000000004</v>
      </c>
      <c r="J5" s="34">
        <v>1.17</v>
      </c>
      <c r="K5" s="34">
        <f>H5-I5-J5</f>
        <v>4.7843400000000003</v>
      </c>
      <c r="L5" s="32">
        <v>820000</v>
      </c>
      <c r="M5" s="34">
        <f>(N5+Q5)*L5</f>
        <v>5260745.9999999795</v>
      </c>
      <c r="N5" s="34">
        <v>5.2455439024389996</v>
      </c>
      <c r="O5" s="34">
        <f>N5*0.0925</f>
        <v>0.48521281097560748</v>
      </c>
      <c r="P5" s="34">
        <f>O5*L5</f>
        <v>397874.50499999814</v>
      </c>
      <c r="Q5" s="34">
        <v>1.17</v>
      </c>
      <c r="R5" s="34">
        <f>Q5*L5</f>
        <v>959399.99999999988</v>
      </c>
      <c r="S5" s="34">
        <f>N5-O5</f>
        <v>4.7603310914633923</v>
      </c>
      <c r="T5" s="35" t="s">
        <v>72</v>
      </c>
      <c r="U5" s="34">
        <f>IF(T5="S",S5,SMALL((K5,S5),1))</f>
        <v>4.7603310914633923</v>
      </c>
      <c r="V5" s="34">
        <f>G5*U5</f>
        <v>3659504.526562483</v>
      </c>
      <c r="W5" s="36">
        <v>1</v>
      </c>
      <c r="X5" s="36">
        <v>0</v>
      </c>
      <c r="Y5" s="34">
        <f>IF(U5=K5,Q5,J5)</f>
        <v>1.17</v>
      </c>
      <c r="Z5" s="34">
        <f>IF(U5=K5,O5,I5)</f>
        <v>0.48766000000000004</v>
      </c>
      <c r="AA5" s="34">
        <f>((G5*Y5)*W5)+((G5*Z5)*X5)</f>
        <v>899437.5</v>
      </c>
      <c r="AB5" s="34">
        <f>V5+AA5</f>
        <v>4558942.026562483</v>
      </c>
    </row>
    <row r="6" spans="1:28" s="28" customFormat="1" ht="19.5" customHeight="1">
      <c r="A6" s="20"/>
      <c r="B6" s="20"/>
      <c r="C6" s="20"/>
      <c r="D6" s="20"/>
      <c r="E6" s="21"/>
      <c r="F6" s="22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4"/>
      <c r="T6" s="23"/>
      <c r="U6" s="23"/>
      <c r="V6" s="25"/>
      <c r="W6" s="25"/>
      <c r="X6" s="23"/>
      <c r="Y6" s="23"/>
      <c r="Z6" s="23"/>
      <c r="AA6" s="26"/>
      <c r="AB6" s="27">
        <f>SUM(AB4:AB5)</f>
        <v>4558942.026562483</v>
      </c>
    </row>
    <row r="8" spans="1:28" ht="19.5" customHeight="1">
      <c r="H8" s="58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"/>
  <sheetViews>
    <sheetView showGridLines="0" workbookViewId="0">
      <selection activeCell="A4" sqref="A4"/>
    </sheetView>
  </sheetViews>
  <sheetFormatPr defaultRowHeight="19.5" customHeight="1"/>
  <cols>
    <col min="1" max="1" width="30.6640625" customWidth="1"/>
    <col min="2" max="2" width="23.1640625" customWidth="1"/>
    <col min="3" max="3" width="22.6640625" customWidth="1"/>
    <col min="4" max="13" width="16.6640625" customWidth="1"/>
    <col min="14" max="14" width="20.6640625" customWidth="1"/>
    <col min="15" max="23" width="16.1640625" customWidth="1"/>
  </cols>
  <sheetData>
    <row r="1" spans="1:13" ht="49.5" customHeight="1">
      <c r="C1" s="18" t="str">
        <f>RESUMO!C1</f>
        <v>reembolso mensal CCC - CELPE</v>
      </c>
    </row>
    <row r="2" spans="1:13" ht="30" customHeight="1">
      <c r="C2" s="19" t="s">
        <v>28</v>
      </c>
      <c r="D2" s="13">
        <f>RESUMO!C2</f>
        <v>46143</v>
      </c>
      <c r="E2" s="5"/>
      <c r="F2" s="5"/>
    </row>
    <row r="3" spans="1:13" ht="15.5">
      <c r="C3" s="4"/>
      <c r="D3" s="13"/>
      <c r="E3" s="5"/>
      <c r="F3" s="5"/>
    </row>
    <row r="4" spans="1:13" s="9" customFormat="1" ht="60" customHeight="1">
      <c r="A4" s="37" t="s">
        <v>34</v>
      </c>
      <c r="B4" s="37" t="s">
        <v>4</v>
      </c>
      <c r="C4" s="37" t="s">
        <v>35</v>
      </c>
      <c r="D4" s="37" t="s">
        <v>56</v>
      </c>
      <c r="E4" s="37" t="s">
        <v>57</v>
      </c>
      <c r="F4" s="37" t="s">
        <v>58</v>
      </c>
      <c r="G4" s="37" t="s">
        <v>59</v>
      </c>
      <c r="H4" s="37" t="s">
        <v>18</v>
      </c>
      <c r="I4" s="46" t="s">
        <v>19</v>
      </c>
      <c r="J4" s="46" t="s">
        <v>60</v>
      </c>
      <c r="K4" s="46" t="s">
        <v>61</v>
      </c>
      <c r="L4" s="46" t="s">
        <v>62</v>
      </c>
      <c r="M4" s="46" t="s">
        <v>63</v>
      </c>
    </row>
    <row r="5" spans="1:13" ht="19.5" customHeight="1">
      <c r="A5" s="30" t="s">
        <v>13</v>
      </c>
      <c r="B5" s="30" t="s">
        <v>14</v>
      </c>
      <c r="C5" s="30" t="s">
        <v>15</v>
      </c>
      <c r="D5" s="41">
        <v>768750</v>
      </c>
      <c r="E5" s="42">
        <v>820000</v>
      </c>
      <c r="F5" s="42">
        <f>(G5/E5)</f>
        <v>3.1795121951219514</v>
      </c>
      <c r="G5" s="42">
        <v>2607200</v>
      </c>
      <c r="H5" s="43">
        <v>9.2499999999999999E-2</v>
      </c>
      <c r="I5" s="44">
        <f>D5*(F5*H5)</f>
        <v>226093.125</v>
      </c>
      <c r="J5" s="44">
        <f>(D5*F5)-I5</f>
        <v>2218156.875</v>
      </c>
      <c r="K5" s="45">
        <v>0</v>
      </c>
      <c r="L5" s="44">
        <f>I5*K5</f>
        <v>0</v>
      </c>
      <c r="M5" s="44">
        <f>J5+L5</f>
        <v>2218156.875</v>
      </c>
    </row>
    <row r="6" spans="1:13" s="28" customFormat="1" ht="19.5" customHeight="1">
      <c r="M6" s="27">
        <f>SUM(M5)</f>
        <v>2218156.875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6"/>
  <sheetViews>
    <sheetView showGridLines="0" workbookViewId="0">
      <selection activeCell="A4" sqref="A4"/>
    </sheetView>
  </sheetViews>
  <sheetFormatPr defaultRowHeight="19.5" customHeight="1"/>
  <cols>
    <col min="1" max="3" width="30.6640625" customWidth="1"/>
    <col min="4" max="11" width="19.4140625" customWidth="1"/>
    <col min="12" max="17" width="20.6640625" customWidth="1"/>
  </cols>
  <sheetData>
    <row r="1" spans="1:25" ht="49.5" customHeight="1">
      <c r="C1" s="18" t="str">
        <f>RESUMO!C1</f>
        <v>reembolso mensal CCC - CELPE</v>
      </c>
    </row>
    <row r="2" spans="1:25" ht="15.5">
      <c r="C2" s="19" t="s">
        <v>28</v>
      </c>
      <c r="D2" s="13">
        <f>RESUMO!C2</f>
        <v>46143</v>
      </c>
      <c r="E2" s="5"/>
      <c r="F2" s="5"/>
      <c r="G2" s="5"/>
      <c r="H2" s="5"/>
      <c r="I2" s="5"/>
      <c r="J2" s="5"/>
      <c r="K2" s="5"/>
      <c r="L2" s="5"/>
      <c r="M2" s="5"/>
    </row>
    <row r="3" spans="1:25" s="9" customFormat="1" ht="30" customHeight="1">
      <c r="A3" s="7"/>
      <c r="B3" s="7"/>
      <c r="C3" s="7"/>
      <c r="D3" s="7"/>
      <c r="E3" s="8"/>
      <c r="F3" s="8"/>
      <c r="G3" s="59" t="s">
        <v>67</v>
      </c>
      <c r="H3" s="59"/>
      <c r="I3" s="59" t="s">
        <v>67</v>
      </c>
      <c r="J3" s="59"/>
      <c r="K3" s="6"/>
      <c r="L3" s="10"/>
      <c r="M3" s="10"/>
      <c r="N3" s="5"/>
      <c r="O3" s="5"/>
      <c r="P3" s="5"/>
      <c r="U3" s="11"/>
      <c r="V3" s="11"/>
      <c r="W3" s="2"/>
      <c r="X3" s="2"/>
      <c r="Y3" s="2"/>
    </row>
    <row r="4" spans="1:25" s="9" customFormat="1" ht="60" customHeight="1">
      <c r="A4" s="37" t="s">
        <v>34</v>
      </c>
      <c r="B4" s="37" t="s">
        <v>4</v>
      </c>
      <c r="C4" s="37" t="s">
        <v>35</v>
      </c>
      <c r="D4" s="37" t="s">
        <v>64</v>
      </c>
      <c r="E4" s="37" t="s">
        <v>65</v>
      </c>
      <c r="F4" s="37" t="s">
        <v>38</v>
      </c>
      <c r="G4" s="37" t="s">
        <v>5</v>
      </c>
      <c r="H4" s="37" t="s">
        <v>66</v>
      </c>
      <c r="I4" s="37" t="s">
        <v>68</v>
      </c>
      <c r="J4" s="37" t="s">
        <v>69</v>
      </c>
      <c r="K4" s="37" t="s">
        <v>70</v>
      </c>
      <c r="L4" s="10"/>
      <c r="M4" s="10"/>
      <c r="N4" s="5"/>
      <c r="O4" s="5"/>
      <c r="P4" s="5"/>
      <c r="U4" s="11"/>
      <c r="V4" s="11"/>
      <c r="W4" s="2"/>
      <c r="X4" s="2"/>
      <c r="Y4" s="2"/>
    </row>
    <row r="5" spans="1:25" s="9" customFormat="1" ht="20.149999999999999" customHeight="1">
      <c r="A5" s="30" t="s">
        <v>13</v>
      </c>
      <c r="B5" s="30" t="s">
        <v>14</v>
      </c>
      <c r="C5" s="30" t="s">
        <v>15</v>
      </c>
      <c r="D5" s="44">
        <v>6.1029999999999998</v>
      </c>
      <c r="E5" s="44">
        <v>2972.9859999999999</v>
      </c>
      <c r="F5" s="47" t="s">
        <v>27</v>
      </c>
      <c r="G5" s="47">
        <v>202.72337200000001</v>
      </c>
      <c r="H5" s="47">
        <f>ROUND(E5*G5,2)</f>
        <v>602693.75</v>
      </c>
      <c r="I5" s="44">
        <v>148.08000000000001</v>
      </c>
      <c r="J5" s="47">
        <f>ROUND(E5*I5,2)</f>
        <v>440239.77</v>
      </c>
      <c r="K5" s="44">
        <f>H5+J5</f>
        <v>1042933.52</v>
      </c>
      <c r="L5" s="10"/>
      <c r="M5" s="10"/>
      <c r="N5" s="5"/>
      <c r="O5" s="5"/>
      <c r="P5" s="5"/>
      <c r="U5" s="11"/>
      <c r="V5" s="11"/>
      <c r="W5" s="2"/>
      <c r="X5" s="2"/>
      <c r="Y5" s="2"/>
    </row>
    <row r="6" spans="1:25" s="28" customFormat="1" ht="19.5" customHeight="1">
      <c r="E6" s="29">
        <f>SUM(E4:E5)</f>
        <v>2972.9859999999999</v>
      </c>
      <c r="K6" s="27">
        <f>SUM(K4:K5)</f>
        <v>1042933.52</v>
      </c>
    </row>
  </sheetData>
  <mergeCells count="2">
    <mergeCell ref="G3:H3"/>
    <mergeCell ref="I3:J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RESUMO</vt:lpstr>
      <vt:lpstr>COMBUSTÍVEL OD</vt:lpstr>
      <vt:lpstr>FRETE</vt:lpstr>
      <vt:lpstr>GERAÇÃO PRÓPRIA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Lucia Barbosa de Oliveira</dc:creator>
  <cp:lastModifiedBy>Gabriela Pantoja Passos</cp:lastModifiedBy>
  <dcterms:created xsi:type="dcterms:W3CDTF">2019-04-29T22:08:02Z</dcterms:created>
  <dcterms:modified xsi:type="dcterms:W3CDTF">2026-07-15T14:46:59Z</dcterms:modified>
</cp:coreProperties>
</file>