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Z:\GCSE\CONTA CCC\1 OPERAÇÕES\2026\05.Maio26\CTG\6. PUBLICAÇÃO\"/>
    </mc:Choice>
  </mc:AlternateContent>
  <xr:revisionPtr revIDLastSave="0" documentId="13_ncr:1_{12DF322B-02DD-4AD3-AD8A-CDB09B6BA65C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SUMO" sheetId="1" r:id="rId1"/>
    <sheet name="CONTRATOS CCESI" sheetId="4" r:id="rId2"/>
    <sheet name="SIGFI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7" i="3" l="1"/>
  <c r="E5" i="3" l="1"/>
  <c r="G5" i="4"/>
  <c r="D2" i="4" l="1"/>
  <c r="C1" i="4"/>
  <c r="H5" i="4" l="1"/>
  <c r="I5" i="4" s="1"/>
  <c r="J5" i="4" l="1"/>
  <c r="L5" i="4" s="1"/>
  <c r="O5" i="4" s="1"/>
  <c r="K5" i="4" l="1"/>
  <c r="M5" i="4" s="1"/>
  <c r="P5" i="4" s="1"/>
  <c r="R5" i="4" s="1"/>
  <c r="D2" i="3" l="1"/>
  <c r="C1" i="3"/>
  <c r="E6" i="3" l="1"/>
  <c r="E4" i="3" l="1"/>
  <c r="E7" i="3" s="1"/>
  <c r="E7" i="4" l="1"/>
  <c r="C9" i="1" s="1"/>
  <c r="H6" i="4" l="1"/>
  <c r="I6" i="4" s="1"/>
  <c r="O6" i="4" l="1"/>
  <c r="M6" i="4"/>
  <c r="P6" i="4" s="1"/>
  <c r="J6" i="4"/>
  <c r="L6" i="4" s="1"/>
  <c r="R6" i="4" l="1"/>
  <c r="R7" i="4" s="1"/>
  <c r="C7" i="1" s="1"/>
  <c r="K6" i="4"/>
  <c r="I4" i="3" l="1"/>
  <c r="I6" i="3" l="1"/>
  <c r="I5" i="3"/>
  <c r="J5" i="3" l="1"/>
  <c r="K5" i="3" s="1"/>
  <c r="J4" i="3"/>
  <c r="K4" i="3" s="1"/>
  <c r="J6" i="3"/>
  <c r="K6" i="3" s="1"/>
  <c r="K7" i="3" l="1"/>
  <c r="C6" i="1" s="1"/>
  <c r="C4" i="1" s="1"/>
  <c r="C13" i="1" s="1"/>
  <c r="C15" i="1" s="1"/>
</calcChain>
</file>

<file path=xl/sharedStrings.xml><?xml version="1.0" encoding="utf-8"?>
<sst xmlns="http://schemas.openxmlformats.org/spreadsheetml/2006/main" count="71" uniqueCount="55">
  <si>
    <t>REEMBOLSO MENSAL</t>
  </si>
  <si>
    <t>REEMBOLSO PRELIMINAR</t>
  </si>
  <si>
    <t>REEMBOLSO MENSAL EFETIVO</t>
  </si>
  <si>
    <t>R$</t>
  </si>
  <si>
    <t>CUSTO TOTAL DA GERAÇÃO</t>
  </si>
  <si>
    <t>GERAÇÃO MENSAL TOTAL</t>
  </si>
  <si>
    <t>COMPENSAÇÃO</t>
  </si>
  <si>
    <t>ACRméd</t>
  </si>
  <si>
    <t>R$/MWh</t>
  </si>
  <si>
    <t>FATOR DE CORTE</t>
  </si>
  <si>
    <t xml:space="preserve"> - </t>
  </si>
  <si>
    <t>MWh</t>
  </si>
  <si>
    <t>reembolso mensal CCC - CEA</t>
  </si>
  <si>
    <t>competência:</t>
  </si>
  <si>
    <t>1 - combustível</t>
  </si>
  <si>
    <t>2 - geração própria</t>
  </si>
  <si>
    <t>3 - contrato</t>
  </si>
  <si>
    <t>4 - frete</t>
  </si>
  <si>
    <t>beneficiário</t>
  </si>
  <si>
    <t>modelo</t>
  </si>
  <si>
    <t>potência por unidade (MW)</t>
  </si>
  <si>
    <t>n° de sistemas</t>
  </si>
  <si>
    <t>potência (disponib.) [MWh]/mês</t>
  </si>
  <si>
    <t>custo de O&amp;M atualizado (R$/MWh)</t>
  </si>
  <si>
    <t>custo O&amp;M unitário [R$/MW.h]</t>
  </si>
  <si>
    <t>custo total O&amp;M [R$]</t>
  </si>
  <si>
    <t>SIGFI 80</t>
  </si>
  <si>
    <t>SIGFI 60</t>
  </si>
  <si>
    <t>fornecedor</t>
  </si>
  <si>
    <t>CEG</t>
  </si>
  <si>
    <t>usina</t>
  </si>
  <si>
    <t>geração 
(MWh)</t>
  </si>
  <si>
    <t>valor NF bruto (R$)</t>
  </si>
  <si>
    <t>valor unitário NF (R$/MWh)</t>
  </si>
  <si>
    <t>valor considerado CCESI (R$)</t>
  </si>
  <si>
    <t>valor unitário bruto considerado (R$/MWh)</t>
  </si>
  <si>
    <t>valor unitário PIS/COFINS (R$/MWh)</t>
  </si>
  <si>
    <t>valor unitário líquido  considerado (R$/MWh)</t>
  </si>
  <si>
    <t>valor total PIS/COFINS (R$)</t>
  </si>
  <si>
    <t>custo líquido CCESI (R$)</t>
  </si>
  <si>
    <t>% não recuperado de
PIS/COFINS</t>
  </si>
  <si>
    <t>custo PIS / COFINS (R$)</t>
  </si>
  <si>
    <t>custo líquido (R$)</t>
  </si>
  <si>
    <t>desconto (ajuste do mês + penalidade)</t>
  </si>
  <si>
    <t>custo total (R$)</t>
  </si>
  <si>
    <t>OIAPOQUE</t>
  </si>
  <si>
    <t>UTE.PE.AP.032304-7.01</t>
  </si>
  <si>
    <t>Oiapoque COEN</t>
  </si>
  <si>
    <t>SIGFI 180</t>
  </si>
  <si>
    <t>IPCA base (09/2025)</t>
  </si>
  <si>
    <t>Custo anual de manutenção (CAM)</t>
  </si>
  <si>
    <t xml:space="preserve">IPCA atualizado </t>
  </si>
  <si>
    <t>PCH.PH.AP.002586-0.01</t>
  </si>
  <si>
    <t>PCH Salto Cafesoca</t>
  </si>
  <si>
    <t>CEA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</si>
</sst>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7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mmmm/yyyy"/>
    <numFmt numFmtId="165" formatCode="d/m/yy\ h:mm;@"/>
    <numFmt numFmtId="166" formatCode="_-* #,##0_-;\-* #,##0_-;_-* &quot;-&quot;??_-;_-@_-"/>
    <numFmt numFmtId="167" formatCode="_-* #,##0.0_-;\-* #,##0.0_-;_-* &quot;-&quot;??_-;_-@_-"/>
    <numFmt numFmtId="168" formatCode="#,##0.000"/>
  </numFmts>
  <fonts count="11">
    <font>
      <sz val="11"/>
      <color theme="1"/>
      <name val="Inter"/>
      <family val="2"/>
      <scheme val="minor"/>
    </font>
    <font>
      <sz val="11"/>
      <color theme="1"/>
      <name val="Inter"/>
      <family val="2"/>
      <scheme val="minor"/>
    </font>
    <font>
      <b/>
      <i/>
      <sz val="12"/>
      <color rgb="FF002060"/>
      <name val="Inter"/>
      <family val="2"/>
      <scheme val="minor"/>
    </font>
    <font>
      <b/>
      <i/>
      <sz val="12"/>
      <color theme="1"/>
      <name val="Inter"/>
      <family val="2"/>
      <scheme val="minor"/>
    </font>
    <font>
      <b/>
      <i/>
      <sz val="22"/>
      <color theme="4"/>
      <name val="Inter"/>
      <family val="2"/>
      <scheme val="minor"/>
    </font>
    <font>
      <b/>
      <i/>
      <sz val="12"/>
      <color theme="4"/>
      <name val="Inter"/>
      <family val="2"/>
      <scheme val="minor"/>
    </font>
    <font>
      <b/>
      <sz val="11"/>
      <color theme="4"/>
      <name val="Inter"/>
      <family val="2"/>
      <scheme val="minor"/>
    </font>
    <font>
      <b/>
      <i/>
      <sz val="22"/>
      <color rgb="FF002060"/>
      <name val="Inter"/>
      <family val="2"/>
      <scheme val="minor"/>
    </font>
    <font>
      <sz val="11"/>
      <color theme="4"/>
      <name val="Inter"/>
      <family val="2"/>
      <scheme val="minor"/>
    </font>
    <font>
      <b/>
      <u val="double"/>
      <sz val="11"/>
      <color theme="4"/>
      <name val="Inter"/>
      <family val="2"/>
      <scheme val="minor"/>
    </font>
    <font>
      <u val="double"/>
      <sz val="11"/>
      <color theme="4"/>
      <name val="Inter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2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center" vertical="top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top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43" fontId="6" fillId="2" borderId="1" xfId="0" applyNumberFormat="1" applyFont="1" applyFill="1" applyBorder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43" fontId="0" fillId="0" borderId="1" xfId="0" applyNumberFormat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164" fontId="3" fillId="0" borderId="0" xfId="0" applyNumberFormat="1" applyFont="1" applyAlignment="1">
      <alignment horizontal="center" vertical="center"/>
    </xf>
    <xf numFmtId="0" fontId="0" fillId="0" borderId="0" xfId="0" applyAlignment="1">
      <alignment vertical="center"/>
    </xf>
    <xf numFmtId="0" fontId="6" fillId="2" borderId="1" xfId="0" applyFont="1" applyFill="1" applyBorder="1" applyAlignment="1">
      <alignment horizontal="center" vertical="center" wrapText="1"/>
    </xf>
    <xf numFmtId="165" fontId="0" fillId="0" borderId="0" xfId="0" applyNumberFormat="1" applyAlignment="1">
      <alignment vertical="center"/>
    </xf>
    <xf numFmtId="0" fontId="0" fillId="0" borderId="1" xfId="0" applyBorder="1" applyAlignment="1">
      <alignment horizontal="left" vertical="center"/>
    </xf>
    <xf numFmtId="166" fontId="0" fillId="0" borderId="1" xfId="1" applyNumberFormat="1" applyFont="1" applyBorder="1" applyAlignment="1">
      <alignment horizontal="left" vertical="center"/>
    </xf>
    <xf numFmtId="4" fontId="0" fillId="0" borderId="1" xfId="0" applyNumberFormat="1" applyBorder="1" applyAlignment="1">
      <alignment vertical="center"/>
    </xf>
    <xf numFmtId="167" fontId="0" fillId="0" borderId="1" xfId="0" applyNumberFormat="1" applyBorder="1" applyAlignment="1">
      <alignment vertical="center"/>
    </xf>
    <xf numFmtId="43" fontId="0" fillId="0" borderId="1" xfId="0" applyNumberFormat="1" applyBorder="1" applyAlignment="1">
      <alignment vertical="center"/>
    </xf>
    <xf numFmtId="0" fontId="8" fillId="0" borderId="0" xfId="0" applyFont="1"/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43" fontId="6" fillId="2" borderId="1" xfId="0" applyNumberFormat="1" applyFont="1" applyFill="1" applyBorder="1" applyAlignment="1">
      <alignment horizontal="center" vertical="center" wrapText="1"/>
    </xf>
    <xf numFmtId="168" fontId="0" fillId="0" borderId="1" xfId="0" applyNumberFormat="1" applyBorder="1" applyAlignment="1">
      <alignment horizontal="right" vertical="center"/>
    </xf>
    <xf numFmtId="4" fontId="0" fillId="0" borderId="1" xfId="0" applyNumberFormat="1" applyBorder="1" applyAlignment="1">
      <alignment horizontal="right" vertical="center"/>
    </xf>
    <xf numFmtId="9" fontId="0" fillId="0" borderId="1" xfId="0" applyNumberFormat="1" applyBorder="1" applyAlignment="1">
      <alignment vertical="center"/>
    </xf>
    <xf numFmtId="168" fontId="9" fillId="0" borderId="0" xfId="0" applyNumberFormat="1" applyFont="1"/>
    <xf numFmtId="4" fontId="9" fillId="0" borderId="0" xfId="3" applyNumberFormat="1" applyFont="1" applyAlignment="1">
      <alignment vertical="center"/>
    </xf>
    <xf numFmtId="43" fontId="0" fillId="0" borderId="0" xfId="0" applyNumberFormat="1"/>
    <xf numFmtId="44" fontId="0" fillId="0" borderId="0" xfId="4" applyFont="1"/>
    <xf numFmtId="3" fontId="9" fillId="0" borderId="0" xfId="0" applyNumberFormat="1" applyFont="1" applyAlignment="1">
      <alignment vertical="center"/>
    </xf>
  </cellXfs>
  <cellStyles count="5">
    <cellStyle name="Moeda" xfId="4" builtinId="4"/>
    <cellStyle name="Moeda 2" xfId="2" xr:uid="{00000000-0005-0000-0000-000000000000}"/>
    <cellStyle name="Normal" xfId="0" builtinId="0"/>
    <cellStyle name="Porcentagem 2" xfId="3" xr:uid="{D5C398C0-6CFD-49CC-8452-3EB93147A53C}"/>
    <cellStyle name="Vírgula 2" xfId="1" xr:uid="{00000000-0005-0000-0000-000002000000}"/>
  </cellStyles>
  <dxfs count="0"/>
  <tableStyles count="1" defaultTableStyle="TableStyleMedium2" defaultPivotStyle="PivotStyleLight16">
    <tableStyle name="Invisible" pivot="0" table="0" count="0" xr9:uid="{599832F1-C81B-493B-BA98-CD7D9DC30518}"/>
  </tableStyles>
  <colors>
    <mruColors>
      <color rgb="FFFFCB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3" name="Imagem 2" descr="Ícone&#10;&#10;Descrição gerada automaticamente com confiança baixa">
          <a:extLst>
            <a:ext uri="{FF2B5EF4-FFF2-40B4-BE49-F238E27FC236}">
              <a16:creationId xmlns:a16="http://schemas.microsoft.com/office/drawing/2014/main" id="{FF4A5923-89EF-4FAE-B304-712F133CB4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2606D5E1-6C1F-4F85-8091-DAE5E27824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4448" cy="42189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295277</xdr:colOff>
      <xdr:row>0</xdr:row>
      <xdr:rowOff>158751</xdr:rowOff>
    </xdr:from>
    <xdr:to>
      <xdr:col>0</xdr:col>
      <xdr:colOff>1606550</xdr:colOff>
      <xdr:row>0</xdr:row>
      <xdr:rowOff>583818</xdr:rowOff>
    </xdr:to>
    <xdr:pic>
      <xdr:nvPicPr>
        <xdr:cNvPr id="2" name="Imagem 1" descr="Ícone&#10;&#10;Descrição gerada automaticamente com confiança baixa">
          <a:extLst>
            <a:ext uri="{FF2B5EF4-FFF2-40B4-BE49-F238E27FC236}">
              <a16:creationId xmlns:a16="http://schemas.microsoft.com/office/drawing/2014/main" id="{4F7591BE-23C0-4872-991B-37E787F0DC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5277" y="158751"/>
          <a:ext cx="1311273" cy="4250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CCEE1">
  <a:themeElements>
    <a:clrScheme name="Personalizada 1">
      <a:dk1>
        <a:srgbClr val="4C4C4C"/>
      </a:dk1>
      <a:lt1>
        <a:sysClr val="window" lastClr="FFFFFF"/>
      </a:lt1>
      <a:dk2>
        <a:srgbClr val="000C4C"/>
      </a:dk2>
      <a:lt2>
        <a:srgbClr val="B8DDE1"/>
      </a:lt2>
      <a:accent1>
        <a:srgbClr val="06038D"/>
      </a:accent1>
      <a:accent2>
        <a:srgbClr val="B8DDE1"/>
      </a:accent2>
      <a:accent3>
        <a:srgbClr val="000C4C"/>
      </a:accent3>
      <a:accent4>
        <a:srgbClr val="FFFFFF"/>
      </a:accent4>
      <a:accent5>
        <a:srgbClr val="4C4C4C"/>
      </a:accent5>
      <a:accent6>
        <a:srgbClr val="002060"/>
      </a:accent6>
      <a:hlink>
        <a:srgbClr val="4C4C4C"/>
      </a:hlink>
      <a:folHlink>
        <a:srgbClr val="00FFFF"/>
      </a:folHlink>
    </a:clrScheme>
    <a:fontScheme name="CCEE-fonte">
      <a:majorFont>
        <a:latin typeface="Inter Black"/>
        <a:ea typeface=""/>
        <a:cs typeface=""/>
      </a:majorFont>
      <a:minorFont>
        <a:latin typeface="Inter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5"/>
  <sheetViews>
    <sheetView showGridLines="0" tabSelected="1" topLeftCell="A11" workbookViewId="0">
      <selection activeCell="C15" sqref="C15"/>
    </sheetView>
  </sheetViews>
  <sheetFormatPr defaultColWidth="7.1640625" defaultRowHeight="14"/>
  <cols>
    <col min="1" max="1" width="52.6640625" customWidth="1"/>
    <col min="2" max="2" width="15.6640625" customWidth="1"/>
    <col min="3" max="3" width="30.6640625" customWidth="1"/>
    <col min="4" max="4" width="23.83203125" customWidth="1"/>
    <col min="6" max="6" width="12.4140625" bestFit="1" customWidth="1"/>
  </cols>
  <sheetData>
    <row r="1" spans="1:6" ht="49.5" customHeight="1">
      <c r="C1" s="3" t="s">
        <v>12</v>
      </c>
    </row>
    <row r="2" spans="1:6" ht="19.5" customHeight="1">
      <c r="B2" s="4" t="s">
        <v>13</v>
      </c>
      <c r="C2" s="2">
        <v>46143</v>
      </c>
    </row>
    <row r="3" spans="1:6" ht="19.5" customHeight="1">
      <c r="B3" s="1"/>
      <c r="C3" s="2"/>
    </row>
    <row r="4" spans="1:6" ht="30" customHeight="1">
      <c r="A4" s="5" t="s">
        <v>4</v>
      </c>
      <c r="B4" s="6" t="s">
        <v>3</v>
      </c>
      <c r="C4" s="7">
        <f>SUM(C5:C8)</f>
        <v>20334995.039999999</v>
      </c>
    </row>
    <row r="5" spans="1:6" ht="19.5" customHeight="1">
      <c r="A5" s="8" t="s">
        <v>14</v>
      </c>
      <c r="B5" s="9" t="s">
        <v>3</v>
      </c>
      <c r="C5" s="10">
        <v>0</v>
      </c>
    </row>
    <row r="6" spans="1:6" ht="19.5" customHeight="1">
      <c r="A6" s="8" t="s">
        <v>15</v>
      </c>
      <c r="B6" s="9" t="s">
        <v>3</v>
      </c>
      <c r="C6" s="10">
        <f>ROUND(SIGFI!K7,2)</f>
        <v>3902088.5</v>
      </c>
    </row>
    <row r="7" spans="1:6" ht="19.5" customHeight="1">
      <c r="A7" s="8" t="s">
        <v>16</v>
      </c>
      <c r="B7" s="9" t="s">
        <v>3</v>
      </c>
      <c r="C7" s="10">
        <f>ROUND('CONTRATOS CCESI'!R7,2)</f>
        <v>16432906.539999999</v>
      </c>
    </row>
    <row r="8" spans="1:6" ht="19.5" customHeight="1">
      <c r="A8" s="8" t="s">
        <v>17</v>
      </c>
      <c r="B8" s="9" t="s">
        <v>3</v>
      </c>
      <c r="C8" s="10">
        <v>0</v>
      </c>
    </row>
    <row r="9" spans="1:6" ht="19.5" customHeight="1">
      <c r="A9" s="8" t="s">
        <v>5</v>
      </c>
      <c r="B9" s="9" t="s">
        <v>11</v>
      </c>
      <c r="C9" s="10">
        <f>'CONTRATOS CCESI'!E7+SIGFI!E7</f>
        <v>7610.7277869999989</v>
      </c>
      <c r="F9" s="34"/>
    </row>
    <row r="10" spans="1:6" ht="19.5" customHeight="1">
      <c r="A10" s="8" t="s">
        <v>6</v>
      </c>
      <c r="B10" s="9" t="s">
        <v>3</v>
      </c>
      <c r="C10" s="10">
        <v>0</v>
      </c>
    </row>
    <row r="11" spans="1:6" ht="19.5" customHeight="1">
      <c r="A11" s="8" t="s">
        <v>7</v>
      </c>
      <c r="B11" s="9" t="s">
        <v>8</v>
      </c>
      <c r="C11" s="10">
        <v>342.71</v>
      </c>
    </row>
    <row r="12" spans="1:6" ht="19.5" customHeight="1">
      <c r="A12" s="8" t="s">
        <v>9</v>
      </c>
      <c r="B12" s="9" t="s">
        <v>10</v>
      </c>
      <c r="C12" s="10">
        <v>1</v>
      </c>
    </row>
    <row r="13" spans="1:6" ht="19.5" customHeight="1">
      <c r="A13" s="5" t="s">
        <v>0</v>
      </c>
      <c r="B13" s="6" t="s">
        <v>3</v>
      </c>
      <c r="C13" s="7">
        <f>ROUND((C4-C9*C11)*C12,2)</f>
        <v>17726722.52</v>
      </c>
    </row>
    <row r="14" spans="1:6" ht="19.5" customHeight="1">
      <c r="A14" s="5" t="s">
        <v>1</v>
      </c>
      <c r="B14" s="6" t="s">
        <v>3</v>
      </c>
      <c r="C14" s="7">
        <v>14712509.189999999</v>
      </c>
    </row>
    <row r="15" spans="1:6" ht="19.5" customHeight="1">
      <c r="A15" s="5" t="s">
        <v>2</v>
      </c>
      <c r="B15" s="6" t="s">
        <v>3</v>
      </c>
      <c r="C15" s="7">
        <f>C13-C14</f>
        <v>3014213.33</v>
      </c>
      <c r="D15" s="35"/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D7D26A-355D-444D-A342-83D27F797907}">
  <dimension ref="A1:U7"/>
  <sheetViews>
    <sheetView showGridLines="0" workbookViewId="0">
      <selection activeCell="A4" sqref="A4"/>
    </sheetView>
  </sheetViews>
  <sheetFormatPr defaultRowHeight="19.5" customHeight="1"/>
  <cols>
    <col min="1" max="1" width="23.6640625" customWidth="1"/>
    <col min="2" max="2" width="28.6640625" customWidth="1"/>
    <col min="3" max="3" width="26.6640625" customWidth="1"/>
    <col min="4" max="4" width="30.6640625" customWidth="1"/>
    <col min="5" max="18" width="17.1640625" customWidth="1"/>
    <col min="19" max="19" width="20.6640625" customWidth="1"/>
  </cols>
  <sheetData>
    <row r="1" spans="1:21" ht="49.5" customHeight="1">
      <c r="C1" s="26" t="str">
        <f>RESUMO!C1</f>
        <v>reembolso mensal CCC - CEA</v>
      </c>
    </row>
    <row r="2" spans="1:21" ht="30" customHeight="1">
      <c r="C2" s="27" t="s">
        <v>13</v>
      </c>
      <c r="D2" s="13">
        <f>RESUMO!C2</f>
        <v>46143</v>
      </c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21" ht="15.5">
      <c r="C3" s="12"/>
      <c r="D3" s="13"/>
      <c r="F3" s="14"/>
      <c r="G3" s="14"/>
      <c r="H3" s="14"/>
      <c r="I3" s="14"/>
      <c r="J3" s="14"/>
      <c r="K3" s="14"/>
      <c r="L3" s="14"/>
      <c r="M3" s="14"/>
      <c r="N3" s="14"/>
      <c r="O3" s="14"/>
    </row>
    <row r="4" spans="1:21" s="16" customFormat="1" ht="60" customHeight="1">
      <c r="A4" s="15" t="s">
        <v>18</v>
      </c>
      <c r="B4" s="15" t="s">
        <v>28</v>
      </c>
      <c r="C4" s="15" t="s">
        <v>29</v>
      </c>
      <c r="D4" s="15" t="s">
        <v>30</v>
      </c>
      <c r="E4" s="15" t="s">
        <v>31</v>
      </c>
      <c r="F4" s="15" t="s">
        <v>32</v>
      </c>
      <c r="G4" s="15" t="s">
        <v>33</v>
      </c>
      <c r="H4" s="15" t="s">
        <v>34</v>
      </c>
      <c r="I4" s="15" t="s">
        <v>35</v>
      </c>
      <c r="J4" s="28" t="s">
        <v>36</v>
      </c>
      <c r="K4" s="28" t="s">
        <v>37</v>
      </c>
      <c r="L4" s="28" t="s">
        <v>38</v>
      </c>
      <c r="M4" s="28" t="s">
        <v>39</v>
      </c>
      <c r="N4" s="28" t="s">
        <v>40</v>
      </c>
      <c r="O4" s="28" t="s">
        <v>41</v>
      </c>
      <c r="P4" s="28" t="s">
        <v>42</v>
      </c>
      <c r="Q4" s="28" t="s">
        <v>43</v>
      </c>
      <c r="R4" s="28" t="s">
        <v>44</v>
      </c>
      <c r="S4" s="14"/>
      <c r="T4" s="14"/>
      <c r="U4" s="14"/>
    </row>
    <row r="5" spans="1:21" s="16" customFormat="1" ht="20.149999999999999" customHeight="1">
      <c r="A5" s="9" t="s">
        <v>54</v>
      </c>
      <c r="B5" s="9" t="s">
        <v>45</v>
      </c>
      <c r="C5" s="9" t="s">
        <v>46</v>
      </c>
      <c r="D5" s="9" t="s">
        <v>47</v>
      </c>
      <c r="E5" s="29">
        <v>5019.9799999999996</v>
      </c>
      <c r="F5" s="30">
        <v>16432906.539999999</v>
      </c>
      <c r="G5" s="30">
        <f>F5/E5</f>
        <v>3273.5004004000016</v>
      </c>
      <c r="H5" s="30">
        <f>F5</f>
        <v>16432906.539999999</v>
      </c>
      <c r="I5" s="30">
        <f>ROUND(IF(E5=0,0,H5/E5),6)</f>
        <v>3273.5003999999999</v>
      </c>
      <c r="J5" s="19">
        <f>ROUND(I5*0.0925,6)</f>
        <v>302.798787</v>
      </c>
      <c r="K5" s="19">
        <f>I5-J5</f>
        <v>2970.7016129999997</v>
      </c>
      <c r="L5" s="19">
        <f>E5*J5</f>
        <v>1520043.8547642599</v>
      </c>
      <c r="M5" s="19">
        <f>IF(I5=0,ROUND(H5*(1-0.0925),6),ROUND(K5*E5,6))</f>
        <v>14912862.683227999</v>
      </c>
      <c r="N5" s="31">
        <v>1</v>
      </c>
      <c r="O5" s="19">
        <f t="shared" ref="O5:O6" si="0">IF(I5=0,ROUND(H5*N5*0.0925,6),ROUND(L5*N5,6))</f>
        <v>1520043.854764</v>
      </c>
      <c r="P5" s="19">
        <f>M5</f>
        <v>14912862.683227999</v>
      </c>
      <c r="Q5" s="19">
        <v>0</v>
      </c>
      <c r="R5" s="19">
        <f>SUM(O5:Q5)</f>
        <v>16432906.537991999</v>
      </c>
      <c r="S5" s="14"/>
      <c r="T5" s="14"/>
      <c r="U5" s="14"/>
    </row>
    <row r="6" spans="1:21" s="16" customFormat="1" ht="20.149999999999999" customHeight="1">
      <c r="A6" s="9" t="s">
        <v>54</v>
      </c>
      <c r="B6" s="9" t="s">
        <v>45</v>
      </c>
      <c r="C6" s="9" t="s">
        <v>52</v>
      </c>
      <c r="D6" s="9" t="s">
        <v>53</v>
      </c>
      <c r="E6" s="29">
        <v>2168.1277869999999</v>
      </c>
      <c r="F6" s="19">
        <v>0</v>
      </c>
      <c r="G6" s="19">
        <v>0</v>
      </c>
      <c r="H6" s="19">
        <f>MIN(D6,F6)</f>
        <v>0</v>
      </c>
      <c r="I6" s="30">
        <f>ROUND(IF(E6=0,0,H6/E6),6)</f>
        <v>0</v>
      </c>
      <c r="J6" s="19">
        <f>ROUND(I6*0.0925,6)</f>
        <v>0</v>
      </c>
      <c r="K6" s="19">
        <f>I6-J6</f>
        <v>0</v>
      </c>
      <c r="L6" s="19">
        <f>E6*J6</f>
        <v>0</v>
      </c>
      <c r="M6" s="19">
        <f>IF(I6=0,ROUND(H6*(1-0.0925),6),ROUND(K6*E6,6))</f>
        <v>0</v>
      </c>
      <c r="N6" s="31">
        <v>1</v>
      </c>
      <c r="O6" s="19">
        <f t="shared" si="0"/>
        <v>0</v>
      </c>
      <c r="P6" s="19">
        <f>M6</f>
        <v>0</v>
      </c>
      <c r="Q6" s="19">
        <v>0</v>
      </c>
      <c r="R6" s="19">
        <f>SUM(O6:Q6)</f>
        <v>0</v>
      </c>
      <c r="S6" s="14"/>
      <c r="T6" s="14"/>
      <c r="U6" s="14"/>
    </row>
    <row r="7" spans="1:21" s="22" customFormat="1" ht="19.5" customHeight="1">
      <c r="E7" s="32">
        <f>SUM(E5:E6)</f>
        <v>7188.107786999999</v>
      </c>
      <c r="R7" s="33">
        <f>SUM(R5:R6)</f>
        <v>16432906.537991999</v>
      </c>
    </row>
  </sheetData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C077E9-72D1-4132-BC4B-C638F962C024}">
  <dimension ref="A1:N12"/>
  <sheetViews>
    <sheetView showGridLines="0" workbookViewId="0">
      <selection activeCell="A3" sqref="A3"/>
    </sheetView>
  </sheetViews>
  <sheetFormatPr defaultColWidth="8.6640625" defaultRowHeight="19.5" customHeight="1"/>
  <cols>
    <col min="1" max="1" width="30.6640625" customWidth="1"/>
    <col min="2" max="11" width="16.58203125" customWidth="1"/>
    <col min="12" max="15" width="20.6640625" customWidth="1"/>
    <col min="16" max="18" width="16.1640625" customWidth="1"/>
  </cols>
  <sheetData>
    <row r="1" spans="1:14" ht="49.5" customHeight="1">
      <c r="C1" s="11" t="str">
        <f>RESUMO!C1</f>
        <v>reembolso mensal CCC - CEA</v>
      </c>
    </row>
    <row r="2" spans="1:14" ht="30" customHeight="1">
      <c r="C2" s="12" t="s">
        <v>13</v>
      </c>
      <c r="D2" s="13">
        <f>RESUMO!C2</f>
        <v>46143</v>
      </c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s="16" customFormat="1" ht="60" customHeight="1">
      <c r="A3" s="15" t="s">
        <v>18</v>
      </c>
      <c r="B3" s="15" t="s">
        <v>19</v>
      </c>
      <c r="C3" s="15" t="s">
        <v>20</v>
      </c>
      <c r="D3" s="15" t="s">
        <v>21</v>
      </c>
      <c r="E3" s="15" t="s">
        <v>22</v>
      </c>
      <c r="F3" s="15" t="s">
        <v>49</v>
      </c>
      <c r="G3" s="15" t="s">
        <v>51</v>
      </c>
      <c r="H3" s="15" t="s">
        <v>50</v>
      </c>
      <c r="I3" s="15" t="s">
        <v>23</v>
      </c>
      <c r="J3" s="15" t="s">
        <v>24</v>
      </c>
      <c r="K3" s="15" t="s">
        <v>25</v>
      </c>
      <c r="L3" s="14"/>
      <c r="M3" s="14"/>
    </row>
    <row r="4" spans="1:14" s="16" customFormat="1" ht="20.149999999999999" customHeight="1">
      <c r="A4" s="9" t="s">
        <v>54</v>
      </c>
      <c r="B4" s="17" t="s">
        <v>27</v>
      </c>
      <c r="C4" s="9">
        <v>0.06</v>
      </c>
      <c r="D4" s="18">
        <v>1695</v>
      </c>
      <c r="E4" s="19">
        <f>(D4*C4)</f>
        <v>101.7</v>
      </c>
      <c r="F4" s="21">
        <v>7359.06</v>
      </c>
      <c r="G4" s="21">
        <v>7359.06</v>
      </c>
      <c r="H4" s="20">
        <v>4311.83</v>
      </c>
      <c r="I4" s="21">
        <f>(4921.26+(H4*G4/F4))</f>
        <v>9233.09</v>
      </c>
      <c r="J4" s="19">
        <f>ROUND(C4*$I$6,6)</f>
        <v>553.98540000000003</v>
      </c>
      <c r="K4" s="21">
        <f>ROUND(D4*J4,6)</f>
        <v>939005.25300000003</v>
      </c>
      <c r="L4" s="14"/>
      <c r="M4" s="14"/>
    </row>
    <row r="5" spans="1:14" ht="19.5" customHeight="1">
      <c r="A5" s="9" t="s">
        <v>54</v>
      </c>
      <c r="B5" s="17" t="s">
        <v>26</v>
      </c>
      <c r="C5" s="9">
        <v>0.08</v>
      </c>
      <c r="D5" s="18">
        <v>3872</v>
      </c>
      <c r="E5" s="19">
        <f t="shared" ref="E5" si="0">(D5*C5)</f>
        <v>309.76</v>
      </c>
      <c r="F5" s="21">
        <v>7359.06</v>
      </c>
      <c r="G5" s="21">
        <v>7359.06</v>
      </c>
      <c r="H5" s="20">
        <v>4311.83</v>
      </c>
      <c r="I5" s="21">
        <f>(4921.26+(H5*G5/F5))</f>
        <v>9233.09</v>
      </c>
      <c r="J5" s="19">
        <f t="shared" ref="J5:J6" si="1">ROUND(C5*$I$6,6)</f>
        <v>738.6472</v>
      </c>
      <c r="K5" s="21">
        <f>ROUND(D5*J5,6)</f>
        <v>2860041.9583999999</v>
      </c>
    </row>
    <row r="6" spans="1:14" ht="19.5" customHeight="1">
      <c r="A6" s="9" t="s">
        <v>54</v>
      </c>
      <c r="B6" s="17" t="s">
        <v>48</v>
      </c>
      <c r="C6" s="9">
        <v>0.18</v>
      </c>
      <c r="D6" s="18">
        <v>62</v>
      </c>
      <c r="E6" s="19">
        <f t="shared" ref="E6" si="2">(D6*C6)</f>
        <v>11.16</v>
      </c>
      <c r="F6" s="21">
        <v>7359.06</v>
      </c>
      <c r="G6" s="21">
        <v>7359.06</v>
      </c>
      <c r="H6" s="20">
        <v>4311.83</v>
      </c>
      <c r="I6" s="21">
        <f>(4921.26+(H6*G6/F6))</f>
        <v>9233.09</v>
      </c>
      <c r="J6" s="19">
        <f t="shared" si="1"/>
        <v>1661.9562000000001</v>
      </c>
      <c r="K6" s="21">
        <f t="shared" ref="K6" si="3">ROUND(D6*J6,6)</f>
        <v>103041.2844</v>
      </c>
    </row>
    <row r="7" spans="1:14" s="22" customFormat="1" ht="19.5" customHeight="1">
      <c r="C7" s="23"/>
      <c r="D7" s="36">
        <f>SUBTOTAL(9,D4:D6)</f>
        <v>5629</v>
      </c>
      <c r="E7" s="24">
        <f>SUBTOTAL(9,E4:E6)</f>
        <v>422.62</v>
      </c>
      <c r="J7" s="25"/>
      <c r="K7" s="24">
        <f>ROUND(SUBTOTAL(9,K4:K6),2)</f>
        <v>3902088.5</v>
      </c>
    </row>
    <row r="12" spans="1:14" ht="19.5" customHeight="1">
      <c r="K12" s="34"/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RESUMO</vt:lpstr>
      <vt:lpstr>CONTRATOS CCESI</vt:lpstr>
      <vt:lpstr>SIGFI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 Sasai</dc:creator>
  <cp:lastModifiedBy>Gabriela Pantoja Passos</cp:lastModifiedBy>
  <dcterms:created xsi:type="dcterms:W3CDTF">2019-04-29T22:08:02Z</dcterms:created>
  <dcterms:modified xsi:type="dcterms:W3CDTF">2026-07-15T14:46:18Z</dcterms:modified>
</cp:coreProperties>
</file>