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E3553D70-FCFE-4F28-9CD5-F843E03146FF}" xr6:coauthVersionLast="47" xr6:coauthVersionMax="47" xr10:uidLastSave="{00000000-0000-0000-0000-000000000000}"/>
  <bookViews>
    <workbookView xWindow="-110" yWindow="-110" windowWidth="19420" windowHeight="10300" tabRatio="831" xr2:uid="{00000000-000D-0000-FFFF-FFFF00000000}"/>
  </bookViews>
  <sheets>
    <sheet name="RESUMO" sheetId="1" r:id="rId1"/>
    <sheet name="DSP 3418_2023" sheetId="12" r:id="rId2"/>
    <sheet name="COMBUSTÍVEL OD" sheetId="2" r:id="rId3"/>
    <sheet name="CONTRATOS CCVEE" sheetId="6" r:id="rId4"/>
    <sheet name="GERAÇÃO PRÓPRIA" sheetId="3" r:id="rId5"/>
    <sheet name="CONTRATOS GAS" sheetId="7" r:id="rId6"/>
    <sheet name="CONTRATOS CCESI" sheetId="9" r:id="rId7"/>
    <sheet name="SIGFI" sheetId="10" r:id="rId8"/>
  </sheets>
  <definedNames>
    <definedName name="_xlnm._FilterDatabase" localSheetId="2" hidden="1">'COMBUSTÍVEL OD'!$A$3:$AE$10</definedName>
    <definedName name="_xlnm._FilterDatabase" localSheetId="6" hidden="1">'CONTRATOS CCESI'!$A$1:$W$78</definedName>
    <definedName name="_xlnm._FilterDatabase" localSheetId="1" hidden="1">'DSP 3418_2023'!$A$3:$AE$3</definedName>
    <definedName name="_xlnm._FilterDatabase" localSheetId="4" hidden="1">'GERAÇÃO PRÓPRIA'!$A$4:$AG$11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I5" i="10" l="1"/>
  <c r="G4" i="10" l="1"/>
  <c r="G12" i="2" l="1"/>
  <c r="S6" i="2"/>
  <c r="J9" i="12"/>
  <c r="C25" i="1"/>
  <c r="P6" i="2" l="1"/>
  <c r="Q6" i="2" s="1"/>
  <c r="G4" i="12"/>
  <c r="G8" i="12"/>
  <c r="G7" i="12"/>
  <c r="G6" i="12"/>
  <c r="G5" i="12"/>
  <c r="O6" i="2" l="1"/>
  <c r="C5" i="10"/>
  <c r="D1" i="10"/>
  <c r="D1" i="9" l="1"/>
  <c r="D1" i="6" l="1"/>
  <c r="D1" i="7"/>
  <c r="C1" i="3"/>
  <c r="C1" i="2"/>
  <c r="U12" i="3" l="1"/>
  <c r="C20" i="1" s="1"/>
  <c r="E2" i="6" l="1"/>
  <c r="E2" i="9"/>
  <c r="E2" i="10"/>
  <c r="D2" i="2"/>
  <c r="E2" i="7"/>
  <c r="D2" i="3"/>
  <c r="D2" i="12"/>
  <c r="V6" i="2" l="1"/>
  <c r="U6" i="2"/>
  <c r="W6" i="2"/>
  <c r="E5" i="10" l="1"/>
  <c r="E6" i="10" s="1"/>
  <c r="F8" i="7"/>
  <c r="F7" i="7"/>
  <c r="E8" i="12" s="1"/>
  <c r="F6" i="7"/>
  <c r="E7" i="12" s="1"/>
  <c r="F5" i="7"/>
  <c r="E6" i="12" s="1"/>
  <c r="E90" i="9" l="1"/>
  <c r="E12" i="3"/>
  <c r="E9" i="7"/>
  <c r="F4" i="7"/>
  <c r="Z6" i="2"/>
  <c r="AA6" i="2"/>
  <c r="H12" i="2"/>
  <c r="AD6" i="2"/>
  <c r="AC6" i="2"/>
  <c r="E180" i="9"/>
  <c r="G9" i="7"/>
  <c r="J11" i="3"/>
  <c r="I11" i="3"/>
  <c r="N11" i="3" s="1"/>
  <c r="J10" i="3"/>
  <c r="I10" i="3"/>
  <c r="N10" i="3" s="1"/>
  <c r="J9" i="3"/>
  <c r="I9" i="3"/>
  <c r="N9" i="3" s="1"/>
  <c r="J8" i="3"/>
  <c r="I8" i="3"/>
  <c r="N8" i="3" s="1"/>
  <c r="J7" i="3"/>
  <c r="I7" i="3"/>
  <c r="N7" i="3" s="1"/>
  <c r="J6" i="3"/>
  <c r="I6" i="3"/>
  <c r="N6" i="3" s="1"/>
  <c r="J5" i="3"/>
  <c r="I5" i="3"/>
  <c r="N5" i="3" s="1"/>
  <c r="M179" i="9"/>
  <c r="N179" i="9" s="1"/>
  <c r="M178" i="9"/>
  <c r="N178" i="9" s="1"/>
  <c r="M177" i="9"/>
  <c r="N177" i="9" s="1"/>
  <c r="M176" i="9"/>
  <c r="N176" i="9" s="1"/>
  <c r="M175" i="9"/>
  <c r="N175" i="9" s="1"/>
  <c r="M174" i="9"/>
  <c r="N174" i="9" s="1"/>
  <c r="M173" i="9"/>
  <c r="N173" i="9" s="1"/>
  <c r="M172" i="9"/>
  <c r="N172" i="9" s="1"/>
  <c r="M171" i="9"/>
  <c r="N171" i="9" s="1"/>
  <c r="M170" i="9"/>
  <c r="N170" i="9" s="1"/>
  <c r="M169" i="9"/>
  <c r="N169" i="9" s="1"/>
  <c r="M168" i="9"/>
  <c r="N168" i="9" s="1"/>
  <c r="M167" i="9"/>
  <c r="N167" i="9" s="1"/>
  <c r="M166" i="9"/>
  <c r="N166" i="9" s="1"/>
  <c r="M165" i="9"/>
  <c r="N165" i="9" s="1"/>
  <c r="M164" i="9"/>
  <c r="N164" i="9" s="1"/>
  <c r="M163" i="9"/>
  <c r="N163" i="9" s="1"/>
  <c r="M162" i="9"/>
  <c r="N162" i="9" s="1"/>
  <c r="M161" i="9"/>
  <c r="N161" i="9" s="1"/>
  <c r="M160" i="9"/>
  <c r="N160" i="9" s="1"/>
  <c r="M159" i="9"/>
  <c r="N159" i="9" s="1"/>
  <c r="M158" i="9"/>
  <c r="N158" i="9" s="1"/>
  <c r="M157" i="9"/>
  <c r="N157" i="9" s="1"/>
  <c r="M156" i="9"/>
  <c r="N156" i="9" s="1"/>
  <c r="M155" i="9"/>
  <c r="N155" i="9" s="1"/>
  <c r="M154" i="9"/>
  <c r="N154" i="9" s="1"/>
  <c r="M153" i="9"/>
  <c r="N153" i="9" s="1"/>
  <c r="M152" i="9"/>
  <c r="N152" i="9" s="1"/>
  <c r="M151" i="9"/>
  <c r="N151" i="9" s="1"/>
  <c r="M150" i="9"/>
  <c r="N150" i="9" s="1"/>
  <c r="M149" i="9"/>
  <c r="N149" i="9" s="1"/>
  <c r="M148" i="9"/>
  <c r="N148" i="9" s="1"/>
  <c r="M147" i="9"/>
  <c r="N147" i="9" s="1"/>
  <c r="M146" i="9"/>
  <c r="N146" i="9" s="1"/>
  <c r="M145" i="9"/>
  <c r="N145" i="9" s="1"/>
  <c r="M144" i="9"/>
  <c r="N144" i="9" s="1"/>
  <c r="M143" i="9"/>
  <c r="N143" i="9" s="1"/>
  <c r="M142" i="9"/>
  <c r="N142" i="9" s="1"/>
  <c r="M141" i="9"/>
  <c r="N141" i="9" s="1"/>
  <c r="M140" i="9"/>
  <c r="N140" i="9" s="1"/>
  <c r="M139" i="9"/>
  <c r="N139" i="9" s="1"/>
  <c r="M138" i="9"/>
  <c r="N138" i="9" s="1"/>
  <c r="M137" i="9"/>
  <c r="N137" i="9" s="1"/>
  <c r="M136" i="9"/>
  <c r="N136" i="9" s="1"/>
  <c r="M135" i="9"/>
  <c r="N135" i="9" s="1"/>
  <c r="M134" i="9"/>
  <c r="N134" i="9" s="1"/>
  <c r="M133" i="9"/>
  <c r="N133" i="9" s="1"/>
  <c r="M132" i="9"/>
  <c r="N132" i="9" s="1"/>
  <c r="M131" i="9"/>
  <c r="N131" i="9" s="1"/>
  <c r="M130" i="9"/>
  <c r="N130" i="9" s="1"/>
  <c r="M129" i="9"/>
  <c r="N129" i="9" s="1"/>
  <c r="M128" i="9"/>
  <c r="N128" i="9" s="1"/>
  <c r="M127" i="9"/>
  <c r="N127" i="9" s="1"/>
  <c r="M126" i="9"/>
  <c r="N126" i="9" s="1"/>
  <c r="M125" i="9"/>
  <c r="N125" i="9" s="1"/>
  <c r="M124" i="9"/>
  <c r="N124" i="9" s="1"/>
  <c r="M123" i="9"/>
  <c r="N123" i="9" s="1"/>
  <c r="M122" i="9"/>
  <c r="N122" i="9" s="1"/>
  <c r="M121" i="9"/>
  <c r="N121" i="9" s="1"/>
  <c r="M120" i="9"/>
  <c r="N120" i="9" s="1"/>
  <c r="M119" i="9"/>
  <c r="N119" i="9" s="1"/>
  <c r="M118" i="9"/>
  <c r="N118" i="9" s="1"/>
  <c r="M117" i="9"/>
  <c r="N117" i="9" s="1"/>
  <c r="M116" i="9"/>
  <c r="N116" i="9" s="1"/>
  <c r="M115" i="9"/>
  <c r="N115" i="9" s="1"/>
  <c r="M114" i="9"/>
  <c r="N114" i="9" s="1"/>
  <c r="M113" i="9"/>
  <c r="N113" i="9" s="1"/>
  <c r="M112" i="9"/>
  <c r="N112" i="9" s="1"/>
  <c r="M111" i="9"/>
  <c r="N111" i="9" s="1"/>
  <c r="M110" i="9"/>
  <c r="N110" i="9" s="1"/>
  <c r="M109" i="9"/>
  <c r="N109" i="9" s="1"/>
  <c r="M108" i="9"/>
  <c r="N108" i="9" s="1"/>
  <c r="M107" i="9"/>
  <c r="N107" i="9" s="1"/>
  <c r="M106" i="9"/>
  <c r="N106" i="9" s="1"/>
  <c r="M105" i="9"/>
  <c r="N105" i="9" s="1"/>
  <c r="M104" i="9"/>
  <c r="N104" i="9" s="1"/>
  <c r="M103" i="9"/>
  <c r="N103" i="9" s="1"/>
  <c r="M102" i="9"/>
  <c r="N102" i="9" s="1"/>
  <c r="M101" i="9"/>
  <c r="N101" i="9" s="1"/>
  <c r="M100" i="9"/>
  <c r="N100" i="9" s="1"/>
  <c r="M99" i="9"/>
  <c r="N99" i="9" s="1"/>
  <c r="M98" i="9"/>
  <c r="N98" i="9" s="1"/>
  <c r="M97" i="9"/>
  <c r="N97" i="9" s="1"/>
  <c r="M96" i="9"/>
  <c r="N96" i="9" s="1"/>
  <c r="M95" i="9"/>
  <c r="N95" i="9" s="1"/>
  <c r="M94" i="9"/>
  <c r="N94" i="9" s="1"/>
  <c r="AE6" i="2" l="1"/>
  <c r="J8" i="2"/>
  <c r="J9" i="2"/>
  <c r="J7" i="2"/>
  <c r="J4" i="2"/>
  <c r="J6" i="2"/>
  <c r="J10" i="2"/>
  <c r="J5" i="2"/>
  <c r="AB6" i="2"/>
  <c r="F9" i="7"/>
  <c r="E5" i="12"/>
  <c r="K90" i="9"/>
  <c r="O112" i="9"/>
  <c r="Q112" i="9" s="1"/>
  <c r="T112" i="9" s="1"/>
  <c r="O147" i="9"/>
  <c r="Q147" i="9" s="1"/>
  <c r="T147" i="9" s="1"/>
  <c r="O145" i="9"/>
  <c r="Q145" i="9" s="1"/>
  <c r="T145" i="9" s="1"/>
  <c r="P4" i="2"/>
  <c r="O99" i="9"/>
  <c r="Q99" i="9" s="1"/>
  <c r="T99" i="9" s="1"/>
  <c r="O106" i="9"/>
  <c r="Q106" i="9" s="1"/>
  <c r="T106" i="9" s="1"/>
  <c r="O113" i="9"/>
  <c r="Q113" i="9" s="1"/>
  <c r="T113" i="9" s="1"/>
  <c r="O120" i="9"/>
  <c r="Q120" i="9" s="1"/>
  <c r="T120" i="9" s="1"/>
  <c r="O127" i="9"/>
  <c r="Q127" i="9" s="1"/>
  <c r="T127" i="9" s="1"/>
  <c r="O134" i="9"/>
  <c r="Q134" i="9" s="1"/>
  <c r="T134" i="9" s="1"/>
  <c r="O141" i="9"/>
  <c r="Q141" i="9" s="1"/>
  <c r="T141" i="9" s="1"/>
  <c r="O148" i="9"/>
  <c r="Q148" i="9" s="1"/>
  <c r="T148" i="9" s="1"/>
  <c r="O155" i="9"/>
  <c r="Q155" i="9" s="1"/>
  <c r="T155" i="9" s="1"/>
  <c r="O162" i="9"/>
  <c r="Q162" i="9" s="1"/>
  <c r="T162" i="9" s="1"/>
  <c r="O169" i="9"/>
  <c r="Q169" i="9" s="1"/>
  <c r="T169" i="9" s="1"/>
  <c r="O176" i="9"/>
  <c r="Q176" i="9" s="1"/>
  <c r="T176" i="9" s="1"/>
  <c r="O98" i="9"/>
  <c r="Q98" i="9" s="1"/>
  <c r="T98" i="9" s="1"/>
  <c r="O140" i="9"/>
  <c r="Q140" i="9" s="1"/>
  <c r="T140" i="9" s="1"/>
  <c r="O96" i="9"/>
  <c r="Q96" i="9" s="1"/>
  <c r="T96" i="9" s="1"/>
  <c r="O117" i="9"/>
  <c r="Q117" i="9" s="1"/>
  <c r="T117" i="9" s="1"/>
  <c r="O138" i="9"/>
  <c r="Q138" i="9" s="1"/>
  <c r="T138" i="9" s="1"/>
  <c r="O173" i="9"/>
  <c r="Q173" i="9" s="1"/>
  <c r="T173" i="9" s="1"/>
  <c r="O108" i="9"/>
  <c r="Q108" i="9" s="1"/>
  <c r="T108" i="9" s="1"/>
  <c r="O105" i="9"/>
  <c r="Q105" i="9" s="1"/>
  <c r="T105" i="9" s="1"/>
  <c r="O124" i="9"/>
  <c r="Q124" i="9" s="1"/>
  <c r="T124" i="9" s="1"/>
  <c r="V90" i="9"/>
  <c r="O101" i="9"/>
  <c r="Q101" i="9" s="1"/>
  <c r="T101" i="9" s="1"/>
  <c r="O122" i="9"/>
  <c r="Q122" i="9" s="1"/>
  <c r="T122" i="9" s="1"/>
  <c r="O150" i="9"/>
  <c r="Q150" i="9" s="1"/>
  <c r="T150" i="9" s="1"/>
  <c r="O178" i="9"/>
  <c r="Q178" i="9" s="1"/>
  <c r="T178" i="9" s="1"/>
  <c r="O103" i="9"/>
  <c r="Q103" i="9" s="1"/>
  <c r="T103" i="9" s="1"/>
  <c r="O97" i="9"/>
  <c r="Q97" i="9" s="1"/>
  <c r="T97" i="9" s="1"/>
  <c r="O104" i="9"/>
  <c r="Q104" i="9" s="1"/>
  <c r="T104" i="9" s="1"/>
  <c r="O118" i="9"/>
  <c r="Q118" i="9" s="1"/>
  <c r="T118" i="9" s="1"/>
  <c r="O125" i="9"/>
  <c r="Q125" i="9" s="1"/>
  <c r="T125" i="9" s="1"/>
  <c r="O132" i="9"/>
  <c r="Q132" i="9" s="1"/>
  <c r="T132" i="9" s="1"/>
  <c r="O146" i="9"/>
  <c r="Q146" i="9" s="1"/>
  <c r="T146" i="9" s="1"/>
  <c r="O153" i="9"/>
  <c r="Q153" i="9" s="1"/>
  <c r="T153" i="9" s="1"/>
  <c r="O160" i="9"/>
  <c r="Q160" i="9" s="1"/>
  <c r="T160" i="9" s="1"/>
  <c r="O167" i="9"/>
  <c r="Q167" i="9" s="1"/>
  <c r="T167" i="9" s="1"/>
  <c r="O174" i="9"/>
  <c r="Q174" i="9" s="1"/>
  <c r="T174" i="9" s="1"/>
  <c r="O159" i="9"/>
  <c r="Q159" i="9" s="1"/>
  <c r="T159" i="9" s="1"/>
  <c r="O115" i="9"/>
  <c r="Q115" i="9" s="1"/>
  <c r="T115" i="9" s="1"/>
  <c r="O143" i="9"/>
  <c r="Q143" i="9" s="1"/>
  <c r="T143" i="9" s="1"/>
  <c r="O171" i="9"/>
  <c r="Q171" i="9" s="1"/>
  <c r="T171" i="9" s="1"/>
  <c r="O95" i="9"/>
  <c r="Q95" i="9" s="1"/>
  <c r="T95" i="9" s="1"/>
  <c r="O102" i="9"/>
  <c r="Q102" i="9" s="1"/>
  <c r="T102" i="9" s="1"/>
  <c r="O109" i="9"/>
  <c r="Q109" i="9" s="1"/>
  <c r="T109" i="9" s="1"/>
  <c r="O116" i="9"/>
  <c r="Q116" i="9" s="1"/>
  <c r="T116" i="9" s="1"/>
  <c r="O123" i="9"/>
  <c r="Q123" i="9" s="1"/>
  <c r="T123" i="9" s="1"/>
  <c r="O130" i="9"/>
  <c r="Q130" i="9" s="1"/>
  <c r="T130" i="9" s="1"/>
  <c r="O137" i="9"/>
  <c r="Q137" i="9" s="1"/>
  <c r="T137" i="9" s="1"/>
  <c r="O144" i="9"/>
  <c r="Q144" i="9" s="1"/>
  <c r="T144" i="9" s="1"/>
  <c r="O151" i="9"/>
  <c r="Q151" i="9" s="1"/>
  <c r="T151" i="9" s="1"/>
  <c r="O158" i="9"/>
  <c r="Q158" i="9" s="1"/>
  <c r="T158" i="9" s="1"/>
  <c r="O165" i="9"/>
  <c r="Q165" i="9" s="1"/>
  <c r="T165" i="9" s="1"/>
  <c r="O172" i="9"/>
  <c r="Q172" i="9" s="1"/>
  <c r="T172" i="9" s="1"/>
  <c r="O179" i="9"/>
  <c r="Q179" i="9" s="1"/>
  <c r="T179" i="9" s="1"/>
  <c r="O152" i="9"/>
  <c r="Q152" i="9" s="1"/>
  <c r="T152" i="9" s="1"/>
  <c r="O111" i="9"/>
  <c r="Q111" i="9" s="1"/>
  <c r="T111" i="9" s="1"/>
  <c r="O139" i="9"/>
  <c r="Q139" i="9" s="1"/>
  <c r="T139" i="9" s="1"/>
  <c r="O110" i="9"/>
  <c r="Q110" i="9" s="1"/>
  <c r="T110" i="9" s="1"/>
  <c r="O131" i="9"/>
  <c r="Q131" i="9" s="1"/>
  <c r="T131" i="9" s="1"/>
  <c r="O136" i="9"/>
  <c r="Q136" i="9" s="1"/>
  <c r="T136" i="9" s="1"/>
  <c r="O164" i="9"/>
  <c r="Q164" i="9" s="1"/>
  <c r="T164" i="9" s="1"/>
  <c r="O100" i="9"/>
  <c r="Q100" i="9" s="1"/>
  <c r="T100" i="9" s="1"/>
  <c r="O107" i="9"/>
  <c r="Q107" i="9" s="1"/>
  <c r="T107" i="9" s="1"/>
  <c r="O114" i="9"/>
  <c r="Q114" i="9" s="1"/>
  <c r="T114" i="9" s="1"/>
  <c r="O121" i="9"/>
  <c r="Q121" i="9" s="1"/>
  <c r="T121" i="9" s="1"/>
  <c r="O128" i="9"/>
  <c r="Q128" i="9" s="1"/>
  <c r="T128" i="9" s="1"/>
  <c r="O135" i="9"/>
  <c r="Q135" i="9" s="1"/>
  <c r="T135" i="9" s="1"/>
  <c r="O142" i="9"/>
  <c r="Q142" i="9" s="1"/>
  <c r="T142" i="9" s="1"/>
  <c r="O149" i="9"/>
  <c r="Q149" i="9" s="1"/>
  <c r="T149" i="9" s="1"/>
  <c r="O156" i="9"/>
  <c r="Q156" i="9" s="1"/>
  <c r="T156" i="9" s="1"/>
  <c r="O163" i="9"/>
  <c r="Q163" i="9" s="1"/>
  <c r="T163" i="9" s="1"/>
  <c r="O170" i="9"/>
  <c r="Q170" i="9" s="1"/>
  <c r="T170" i="9" s="1"/>
  <c r="O177" i="9"/>
  <c r="Q177" i="9" s="1"/>
  <c r="T177" i="9" s="1"/>
  <c r="O94" i="9"/>
  <c r="Q94" i="9" s="1"/>
  <c r="T94" i="9" s="1"/>
  <c r="O119" i="9"/>
  <c r="Q119" i="9" s="1"/>
  <c r="T119" i="9" s="1"/>
  <c r="O126" i="9"/>
  <c r="Q126" i="9" s="1"/>
  <c r="T126" i="9" s="1"/>
  <c r="O133" i="9"/>
  <c r="Q133" i="9" s="1"/>
  <c r="T133" i="9" s="1"/>
  <c r="O166" i="9"/>
  <c r="Q166" i="9" s="1"/>
  <c r="T166" i="9" s="1"/>
  <c r="P10" i="2"/>
  <c r="O129" i="9"/>
  <c r="Q129" i="9" s="1"/>
  <c r="T129" i="9" s="1"/>
  <c r="O157" i="9"/>
  <c r="Q157" i="9" s="1"/>
  <c r="T157" i="9" s="1"/>
  <c r="X8" i="7"/>
  <c r="W8" i="7"/>
  <c r="O154" i="9"/>
  <c r="Q154" i="9" s="1"/>
  <c r="T154" i="9" s="1"/>
  <c r="O161" i="9"/>
  <c r="Q161" i="9" s="1"/>
  <c r="T161" i="9" s="1"/>
  <c r="O168" i="9"/>
  <c r="Q168" i="9" s="1"/>
  <c r="T168" i="9" s="1"/>
  <c r="O175" i="9"/>
  <c r="Q175" i="9" s="1"/>
  <c r="T175" i="9" s="1"/>
  <c r="AJ8" i="7"/>
  <c r="AI8" i="7"/>
  <c r="O7" i="7"/>
  <c r="R7" i="7"/>
  <c r="P7" i="7"/>
  <c r="W7" i="7"/>
  <c r="X7" i="7"/>
  <c r="P4" i="7"/>
  <c r="O4" i="7"/>
  <c r="R4" i="7"/>
  <c r="AI7" i="7"/>
  <c r="AJ7" i="7"/>
  <c r="S9" i="7"/>
  <c r="X4" i="7"/>
  <c r="W4" i="7"/>
  <c r="AI4" i="7"/>
  <c r="AJ4" i="7"/>
  <c r="AE9" i="7"/>
  <c r="O5" i="7"/>
  <c r="R5" i="7"/>
  <c r="P5" i="7"/>
  <c r="X5" i="7"/>
  <c r="W5" i="7"/>
  <c r="AI5" i="7"/>
  <c r="AJ5" i="7"/>
  <c r="P8" i="7"/>
  <c r="O8" i="7"/>
  <c r="R8" i="7"/>
  <c r="P6" i="7"/>
  <c r="R6" i="7"/>
  <c r="O6" i="7"/>
  <c r="AA8" i="7"/>
  <c r="AB8" i="7"/>
  <c r="AD8" i="7"/>
  <c r="AF8" i="7" s="1"/>
  <c r="X6" i="7"/>
  <c r="W6" i="7"/>
  <c r="AI6" i="7"/>
  <c r="AJ6" i="7"/>
  <c r="P9" i="2"/>
  <c r="P119" i="9" l="1"/>
  <c r="R119" i="9" s="1"/>
  <c r="U119" i="9" s="1"/>
  <c r="V119" i="9" s="1"/>
  <c r="P137" i="9"/>
  <c r="R137" i="9" s="1"/>
  <c r="U137" i="9" s="1"/>
  <c r="V137" i="9" s="1"/>
  <c r="P107" i="9"/>
  <c r="R107" i="9" s="1"/>
  <c r="U107" i="9" s="1"/>
  <c r="V107" i="9" s="1"/>
  <c r="P112" i="9"/>
  <c r="R112" i="9" s="1"/>
  <c r="U112" i="9" s="1"/>
  <c r="V112" i="9" s="1"/>
  <c r="Q6" i="7"/>
  <c r="U6" i="7" s="1"/>
  <c r="P146" i="9"/>
  <c r="R146" i="9" s="1"/>
  <c r="U146" i="9" s="1"/>
  <c r="V146" i="9" s="1"/>
  <c r="Q8" i="7"/>
  <c r="U8" i="7" s="1"/>
  <c r="Q4" i="7"/>
  <c r="U4" i="7" s="1"/>
  <c r="P157" i="9"/>
  <c r="R157" i="9" s="1"/>
  <c r="U157" i="9" s="1"/>
  <c r="V157" i="9" s="1"/>
  <c r="P143" i="9"/>
  <c r="R143" i="9" s="1"/>
  <c r="U143" i="9" s="1"/>
  <c r="V143" i="9" s="1"/>
  <c r="P135" i="9"/>
  <c r="R135" i="9" s="1"/>
  <c r="U135" i="9" s="1"/>
  <c r="V135" i="9" s="1"/>
  <c r="P160" i="9"/>
  <c r="R160" i="9" s="1"/>
  <c r="U160" i="9" s="1"/>
  <c r="V160" i="9" s="1"/>
  <c r="P177" i="9"/>
  <c r="R177" i="9" s="1"/>
  <c r="U177" i="9" s="1"/>
  <c r="V177" i="9" s="1"/>
  <c r="AH8" i="7"/>
  <c r="P110" i="9"/>
  <c r="R110" i="9" s="1"/>
  <c r="U110" i="9" s="1"/>
  <c r="V110" i="9" s="1"/>
  <c r="P140" i="9"/>
  <c r="R140" i="9" s="1"/>
  <c r="U140" i="9" s="1"/>
  <c r="V140" i="9" s="1"/>
  <c r="P155" i="9"/>
  <c r="R155" i="9" s="1"/>
  <c r="U155" i="9" s="1"/>
  <c r="V155" i="9" s="1"/>
  <c r="P156" i="9"/>
  <c r="R156" i="9" s="1"/>
  <c r="U156" i="9" s="1"/>
  <c r="V156" i="9" s="1"/>
  <c r="P122" i="9"/>
  <c r="R122" i="9" s="1"/>
  <c r="U122" i="9" s="1"/>
  <c r="V122" i="9" s="1"/>
  <c r="P142" i="9"/>
  <c r="R142" i="9" s="1"/>
  <c r="U142" i="9" s="1"/>
  <c r="V142" i="9" s="1"/>
  <c r="P178" i="9"/>
  <c r="R178" i="9" s="1"/>
  <c r="U178" i="9" s="1"/>
  <c r="V178" i="9" s="1"/>
  <c r="P176" i="9"/>
  <c r="R176" i="9" s="1"/>
  <c r="U176" i="9" s="1"/>
  <c r="V176" i="9" s="1"/>
  <c r="P111" i="9"/>
  <c r="R111" i="9" s="1"/>
  <c r="U111" i="9" s="1"/>
  <c r="V111" i="9" s="1"/>
  <c r="AH6" i="7"/>
  <c r="P100" i="9"/>
  <c r="R100" i="9" s="1"/>
  <c r="U100" i="9" s="1"/>
  <c r="V100" i="9" s="1"/>
  <c r="P129" i="9"/>
  <c r="R129" i="9" s="1"/>
  <c r="U129" i="9" s="1"/>
  <c r="V129" i="9" s="1"/>
  <c r="P113" i="9"/>
  <c r="R113" i="9" s="1"/>
  <c r="U113" i="9" s="1"/>
  <c r="V113" i="9" s="1"/>
  <c r="P127" i="9"/>
  <c r="R127" i="9" s="1"/>
  <c r="U127" i="9" s="1"/>
  <c r="V127" i="9" s="1"/>
  <c r="P175" i="9"/>
  <c r="R175" i="9" s="1"/>
  <c r="U175" i="9" s="1"/>
  <c r="V175" i="9" s="1"/>
  <c r="P101" i="9"/>
  <c r="R101" i="9" s="1"/>
  <c r="U101" i="9" s="1"/>
  <c r="V101" i="9" s="1"/>
  <c r="P162" i="9"/>
  <c r="R162" i="9" s="1"/>
  <c r="U162" i="9" s="1"/>
  <c r="V162" i="9" s="1"/>
  <c r="P149" i="9"/>
  <c r="R149" i="9" s="1"/>
  <c r="U149" i="9" s="1"/>
  <c r="V149" i="9" s="1"/>
  <c r="P97" i="9"/>
  <c r="R97" i="9" s="1"/>
  <c r="U97" i="9" s="1"/>
  <c r="V97" i="9" s="1"/>
  <c r="V4" i="7"/>
  <c r="P161" i="9"/>
  <c r="R161" i="9" s="1"/>
  <c r="U161" i="9" s="1"/>
  <c r="V161" i="9" s="1"/>
  <c r="P166" i="9"/>
  <c r="R166" i="9" s="1"/>
  <c r="U166" i="9" s="1"/>
  <c r="V166" i="9" s="1"/>
  <c r="P102" i="9"/>
  <c r="R102" i="9" s="1"/>
  <c r="U102" i="9" s="1"/>
  <c r="V102" i="9" s="1"/>
  <c r="P159" i="9"/>
  <c r="R159" i="9" s="1"/>
  <c r="U159" i="9" s="1"/>
  <c r="V159" i="9" s="1"/>
  <c r="P106" i="9"/>
  <c r="R106" i="9" s="1"/>
  <c r="U106" i="9" s="1"/>
  <c r="V106" i="9" s="1"/>
  <c r="P128" i="9"/>
  <c r="R128" i="9" s="1"/>
  <c r="U128" i="9" s="1"/>
  <c r="V128" i="9" s="1"/>
  <c r="P151" i="9"/>
  <c r="R151" i="9" s="1"/>
  <c r="U151" i="9" s="1"/>
  <c r="V151" i="9" s="1"/>
  <c r="P173" i="9"/>
  <c r="R173" i="9" s="1"/>
  <c r="U173" i="9" s="1"/>
  <c r="V173" i="9" s="1"/>
  <c r="AH5" i="7"/>
  <c r="AC8" i="7"/>
  <c r="AG8" i="7" s="1"/>
  <c r="Q7" i="7"/>
  <c r="U7" i="7" s="1"/>
  <c r="P7" i="2"/>
  <c r="P131" i="9"/>
  <c r="R131" i="9" s="1"/>
  <c r="U131" i="9" s="1"/>
  <c r="V131" i="9" s="1"/>
  <c r="P139" i="9"/>
  <c r="R139" i="9" s="1"/>
  <c r="U139" i="9" s="1"/>
  <c r="V139" i="9" s="1"/>
  <c r="P144" i="9"/>
  <c r="R144" i="9" s="1"/>
  <c r="U144" i="9" s="1"/>
  <c r="V144" i="9" s="1"/>
  <c r="P95" i="9"/>
  <c r="R95" i="9" s="1"/>
  <c r="U95" i="9" s="1"/>
  <c r="V95" i="9" s="1"/>
  <c r="P115" i="9"/>
  <c r="R115" i="9" s="1"/>
  <c r="U115" i="9" s="1"/>
  <c r="V115" i="9" s="1"/>
  <c r="P153" i="9"/>
  <c r="R153" i="9" s="1"/>
  <c r="U153" i="9" s="1"/>
  <c r="V153" i="9" s="1"/>
  <c r="P150" i="9"/>
  <c r="R150" i="9" s="1"/>
  <c r="U150" i="9" s="1"/>
  <c r="V150" i="9" s="1"/>
  <c r="V7" i="2"/>
  <c r="S7" i="2"/>
  <c r="S10" i="2"/>
  <c r="V10" i="2"/>
  <c r="P154" i="9"/>
  <c r="R154" i="9" s="1"/>
  <c r="U154" i="9" s="1"/>
  <c r="V154" i="9" s="1"/>
  <c r="P94" i="9"/>
  <c r="R94" i="9" s="1"/>
  <c r="U94" i="9" s="1"/>
  <c r="V94" i="9" s="1"/>
  <c r="P170" i="9"/>
  <c r="R170" i="9" s="1"/>
  <c r="U170" i="9" s="1"/>
  <c r="V170" i="9" s="1"/>
  <c r="P121" i="9"/>
  <c r="R121" i="9" s="1"/>
  <c r="U121" i="9" s="1"/>
  <c r="V121" i="9" s="1"/>
  <c r="P124" i="9"/>
  <c r="R124" i="9" s="1"/>
  <c r="U124" i="9" s="1"/>
  <c r="V124" i="9" s="1"/>
  <c r="P148" i="9"/>
  <c r="R148" i="9" s="1"/>
  <c r="U148" i="9" s="1"/>
  <c r="V148" i="9" s="1"/>
  <c r="P99" i="9"/>
  <c r="R99" i="9" s="1"/>
  <c r="U99" i="9" s="1"/>
  <c r="V99" i="9" s="1"/>
  <c r="P145" i="9"/>
  <c r="R145" i="9" s="1"/>
  <c r="U145" i="9" s="1"/>
  <c r="V145" i="9" s="1"/>
  <c r="P168" i="9"/>
  <c r="R168" i="9" s="1"/>
  <c r="U168" i="9" s="1"/>
  <c r="V168" i="9" s="1"/>
  <c r="S8" i="2"/>
  <c r="V8" i="2"/>
  <c r="P163" i="9"/>
  <c r="R163" i="9" s="1"/>
  <c r="U163" i="9" s="1"/>
  <c r="V163" i="9" s="1"/>
  <c r="P114" i="9"/>
  <c r="R114" i="9" s="1"/>
  <c r="U114" i="9" s="1"/>
  <c r="V114" i="9" s="1"/>
  <c r="P152" i="9"/>
  <c r="R152" i="9" s="1"/>
  <c r="U152" i="9" s="1"/>
  <c r="V152" i="9" s="1"/>
  <c r="P103" i="9"/>
  <c r="R103" i="9" s="1"/>
  <c r="U103" i="9" s="1"/>
  <c r="V103" i="9" s="1"/>
  <c r="P141" i="9"/>
  <c r="R141" i="9" s="1"/>
  <c r="U141" i="9" s="1"/>
  <c r="V141" i="9" s="1"/>
  <c r="O10" i="2"/>
  <c r="U10" i="2" s="1"/>
  <c r="W10" i="2"/>
  <c r="Q10" i="2"/>
  <c r="P179" i="9"/>
  <c r="R179" i="9" s="1"/>
  <c r="U179" i="9" s="1"/>
  <c r="V179" i="9" s="1"/>
  <c r="P130" i="9"/>
  <c r="R130" i="9" s="1"/>
  <c r="U130" i="9" s="1"/>
  <c r="V130" i="9" s="1"/>
  <c r="P132" i="9"/>
  <c r="R132" i="9" s="1"/>
  <c r="U132" i="9" s="1"/>
  <c r="V132" i="9" s="1"/>
  <c r="P5" i="2"/>
  <c r="O5" i="2" s="1"/>
  <c r="U5" i="2" s="1"/>
  <c r="S9" i="2"/>
  <c r="V9" i="2"/>
  <c r="P134" i="9"/>
  <c r="R134" i="9" s="1"/>
  <c r="U134" i="9" s="1"/>
  <c r="V134" i="9" s="1"/>
  <c r="P147" i="9"/>
  <c r="R147" i="9" s="1"/>
  <c r="U147" i="9" s="1"/>
  <c r="V147" i="9" s="1"/>
  <c r="S4" i="2"/>
  <c r="V4" i="2"/>
  <c r="O9" i="2"/>
  <c r="U9" i="2" s="1"/>
  <c r="Q9" i="2"/>
  <c r="W9" i="2"/>
  <c r="V8" i="7"/>
  <c r="P164" i="9"/>
  <c r="R164" i="9" s="1"/>
  <c r="U164" i="9" s="1"/>
  <c r="V164" i="9" s="1"/>
  <c r="P172" i="9"/>
  <c r="R172" i="9" s="1"/>
  <c r="U172" i="9" s="1"/>
  <c r="V172" i="9" s="1"/>
  <c r="P123" i="9"/>
  <c r="R123" i="9" s="1"/>
  <c r="U123" i="9" s="1"/>
  <c r="V123" i="9" s="1"/>
  <c r="P125" i="9"/>
  <c r="R125" i="9" s="1"/>
  <c r="U125" i="9" s="1"/>
  <c r="V125" i="9" s="1"/>
  <c r="P105" i="9"/>
  <c r="R105" i="9" s="1"/>
  <c r="U105" i="9" s="1"/>
  <c r="V105" i="9" s="1"/>
  <c r="P108" i="9"/>
  <c r="R108" i="9" s="1"/>
  <c r="U108" i="9" s="1"/>
  <c r="V108" i="9" s="1"/>
  <c r="P138" i="9"/>
  <c r="R138" i="9" s="1"/>
  <c r="U138" i="9" s="1"/>
  <c r="V138" i="9" s="1"/>
  <c r="P98" i="9"/>
  <c r="R98" i="9" s="1"/>
  <c r="U98" i="9" s="1"/>
  <c r="V98" i="9" s="1"/>
  <c r="P8" i="2"/>
  <c r="O8" i="2" s="1"/>
  <c r="U8" i="2" s="1"/>
  <c r="P133" i="9"/>
  <c r="R133" i="9" s="1"/>
  <c r="U133" i="9" s="1"/>
  <c r="V133" i="9" s="1"/>
  <c r="P136" i="9"/>
  <c r="R136" i="9" s="1"/>
  <c r="U136" i="9" s="1"/>
  <c r="V136" i="9" s="1"/>
  <c r="P165" i="9"/>
  <c r="R165" i="9" s="1"/>
  <c r="U165" i="9" s="1"/>
  <c r="V165" i="9" s="1"/>
  <c r="P116" i="9"/>
  <c r="R116" i="9" s="1"/>
  <c r="U116" i="9" s="1"/>
  <c r="V116" i="9" s="1"/>
  <c r="P174" i="9"/>
  <c r="R174" i="9" s="1"/>
  <c r="U174" i="9" s="1"/>
  <c r="V174" i="9" s="1"/>
  <c r="P118" i="9"/>
  <c r="R118" i="9" s="1"/>
  <c r="U118" i="9" s="1"/>
  <c r="V118" i="9" s="1"/>
  <c r="P117" i="9"/>
  <c r="R117" i="9" s="1"/>
  <c r="U117" i="9" s="1"/>
  <c r="V117" i="9" s="1"/>
  <c r="P169" i="9"/>
  <c r="R169" i="9" s="1"/>
  <c r="U169" i="9" s="1"/>
  <c r="V169" i="9" s="1"/>
  <c r="P120" i="9"/>
  <c r="R120" i="9" s="1"/>
  <c r="U120" i="9" s="1"/>
  <c r="V120" i="9" s="1"/>
  <c r="M12" i="2"/>
  <c r="S5" i="2"/>
  <c r="V5" i="2"/>
  <c r="P126" i="9"/>
  <c r="R126" i="9" s="1"/>
  <c r="U126" i="9" s="1"/>
  <c r="V126" i="9" s="1"/>
  <c r="P158" i="9"/>
  <c r="R158" i="9" s="1"/>
  <c r="U158" i="9" s="1"/>
  <c r="V158" i="9" s="1"/>
  <c r="P109" i="9"/>
  <c r="R109" i="9" s="1"/>
  <c r="U109" i="9" s="1"/>
  <c r="V109" i="9" s="1"/>
  <c r="P171" i="9"/>
  <c r="R171" i="9" s="1"/>
  <c r="U171" i="9" s="1"/>
  <c r="V171" i="9" s="1"/>
  <c r="P167" i="9"/>
  <c r="R167" i="9" s="1"/>
  <c r="U167" i="9" s="1"/>
  <c r="V167" i="9" s="1"/>
  <c r="P104" i="9"/>
  <c r="R104" i="9" s="1"/>
  <c r="U104" i="9" s="1"/>
  <c r="V104" i="9" s="1"/>
  <c r="P96" i="9"/>
  <c r="R96" i="9" s="1"/>
  <c r="U96" i="9" s="1"/>
  <c r="V96" i="9" s="1"/>
  <c r="O4" i="2"/>
  <c r="U4" i="2" s="1"/>
  <c r="W4" i="2"/>
  <c r="Q4" i="2"/>
  <c r="V7" i="7"/>
  <c r="AH4" i="7"/>
  <c r="V6" i="7"/>
  <c r="Q5" i="7"/>
  <c r="U5" i="7" s="1"/>
  <c r="V5" i="7"/>
  <c r="AH7" i="7"/>
  <c r="T8" i="7"/>
  <c r="AN8" i="7"/>
  <c r="E6" i="6"/>
  <c r="C10" i="1" s="1"/>
  <c r="C24" i="1" s="1"/>
  <c r="E4" i="12"/>
  <c r="T7" i="7"/>
  <c r="T4" i="7"/>
  <c r="T6" i="7"/>
  <c r="T5" i="7"/>
  <c r="Y6" i="7" l="1"/>
  <c r="Y5" i="7"/>
  <c r="Y8" i="7"/>
  <c r="Y4" i="7"/>
  <c r="AK8" i="7"/>
  <c r="Y7" i="7"/>
  <c r="AD10" i="2"/>
  <c r="AA4" i="2"/>
  <c r="AD9" i="2"/>
  <c r="Z5" i="2"/>
  <c r="AC5" i="2"/>
  <c r="Q7" i="2"/>
  <c r="W7" i="2"/>
  <c r="AD7" i="2" s="1"/>
  <c r="Z8" i="2"/>
  <c r="AC8" i="2"/>
  <c r="Q8" i="2"/>
  <c r="W8" i="2"/>
  <c r="AA8" i="2" s="1"/>
  <c r="S12" i="2"/>
  <c r="AC10" i="2"/>
  <c r="Z10" i="2"/>
  <c r="AD4" i="2"/>
  <c r="AA9" i="2"/>
  <c r="AA10" i="2"/>
  <c r="Z4" i="2"/>
  <c r="AC4" i="2"/>
  <c r="W5" i="2"/>
  <c r="AA5" i="2" s="1"/>
  <c r="Q5" i="2"/>
  <c r="V180" i="9"/>
  <c r="Z9" i="2"/>
  <c r="AC9" i="2"/>
  <c r="O7" i="2"/>
  <c r="U7" i="2" s="1"/>
  <c r="T9" i="7"/>
  <c r="AO8" i="7" l="1"/>
  <c r="AP8" i="7" s="1"/>
  <c r="Y9" i="7"/>
  <c r="AE9" i="2"/>
  <c r="AE10" i="2"/>
  <c r="AB4" i="2"/>
  <c r="AD5" i="2"/>
  <c r="AE5" i="2" s="1"/>
  <c r="AA7" i="2"/>
  <c r="AA12" i="2" s="1"/>
  <c r="Q12" i="2"/>
  <c r="AB10" i="2"/>
  <c r="AC7" i="2"/>
  <c r="AE7" i="2" s="1"/>
  <c r="Z7" i="2"/>
  <c r="AB8" i="2"/>
  <c r="AB9" i="2"/>
  <c r="AD8" i="2"/>
  <c r="AE8" i="2" s="1"/>
  <c r="AB5" i="2"/>
  <c r="AE4" i="2"/>
  <c r="AE12" i="2" l="1"/>
  <c r="C19" i="1" s="1"/>
  <c r="C18" i="1" s="1"/>
  <c r="AC12" i="2"/>
  <c r="AB7" i="2"/>
  <c r="AB12" i="2" s="1"/>
  <c r="C5" i="1" s="1"/>
  <c r="AD12" i="2"/>
  <c r="Z12" i="2"/>
  <c r="J5" i="10" l="1"/>
  <c r="K5" i="10" s="1"/>
  <c r="K6" i="10" s="1"/>
  <c r="I10" i="9" l="1"/>
  <c r="M10" i="9" l="1"/>
  <c r="N10" i="9" s="1"/>
  <c r="J10" i="9"/>
  <c r="O10" i="9" l="1"/>
  <c r="Q10" i="9" s="1"/>
  <c r="T10" i="9" s="1"/>
  <c r="P10" i="9" l="1"/>
  <c r="R10" i="9" s="1"/>
  <c r="U10" i="9" s="1"/>
  <c r="W10" i="9" s="1"/>
  <c r="L9" i="2" l="1"/>
  <c r="L8" i="2"/>
  <c r="L7" i="2"/>
  <c r="L4" i="2"/>
  <c r="L10" i="2"/>
  <c r="L6" i="2"/>
  <c r="L5" i="2"/>
  <c r="L10" i="3" l="1"/>
  <c r="P10" i="3"/>
  <c r="P8" i="3"/>
  <c r="L8" i="3"/>
  <c r="P9" i="3"/>
  <c r="L9" i="3"/>
  <c r="L7" i="3"/>
  <c r="P7" i="3"/>
  <c r="L11" i="3"/>
  <c r="P11" i="3"/>
  <c r="L5" i="3"/>
  <c r="P5" i="3"/>
  <c r="P6" i="3"/>
  <c r="L6" i="3"/>
  <c r="I46" i="9" l="1"/>
  <c r="I89" i="9"/>
  <c r="I4" i="9"/>
  <c r="J46" i="9" l="1"/>
  <c r="M46" i="9"/>
  <c r="N46" i="9" s="1"/>
  <c r="M89" i="9"/>
  <c r="N89" i="9" s="1"/>
  <c r="J89" i="9"/>
  <c r="M4" i="9"/>
  <c r="J4" i="9"/>
  <c r="I87" i="9"/>
  <c r="I72" i="9"/>
  <c r="I88" i="9"/>
  <c r="I11" i="9"/>
  <c r="I63" i="9"/>
  <c r="I47" i="9"/>
  <c r="I83" i="9"/>
  <c r="I57" i="9"/>
  <c r="I43" i="9"/>
  <c r="I34" i="9"/>
  <c r="I65" i="9"/>
  <c r="I32" i="9"/>
  <c r="I52" i="9"/>
  <c r="I48" i="9"/>
  <c r="I59" i="9"/>
  <c r="I13" i="9"/>
  <c r="I74" i="9"/>
  <c r="I77" i="9"/>
  <c r="I36" i="9"/>
  <c r="I50" i="9"/>
  <c r="I17" i="9"/>
  <c r="I18" i="9"/>
  <c r="I7" i="9"/>
  <c r="I9" i="9"/>
  <c r="I66" i="9"/>
  <c r="I85" i="9"/>
  <c r="I28" i="9"/>
  <c r="I67" i="9"/>
  <c r="I8" i="9"/>
  <c r="I30" i="9"/>
  <c r="I75" i="9"/>
  <c r="I53" i="9"/>
  <c r="I86" i="9"/>
  <c r="I69" i="9"/>
  <c r="I20" i="9"/>
  <c r="I25" i="9"/>
  <c r="I79" i="9"/>
  <c r="I27" i="9"/>
  <c r="I41" i="9"/>
  <c r="I81" i="9"/>
  <c r="I31" i="9"/>
  <c r="I24" i="9"/>
  <c r="I16" i="9"/>
  <c r="I51" i="9"/>
  <c r="I38" i="9"/>
  <c r="I61" i="9"/>
  <c r="I44" i="9"/>
  <c r="I58" i="9"/>
  <c r="I84" i="9"/>
  <c r="I55" i="9"/>
  <c r="I42" i="9"/>
  <c r="I15" i="9"/>
  <c r="I73" i="9"/>
  <c r="I39" i="9"/>
  <c r="I70" i="9"/>
  <c r="I45" i="9"/>
  <c r="I23" i="9"/>
  <c r="I29" i="9"/>
  <c r="I82" i="9"/>
  <c r="I40" i="9"/>
  <c r="I14" i="9"/>
  <c r="I49" i="9"/>
  <c r="I80" i="9"/>
  <c r="I68" i="9"/>
  <c r="I54" i="9"/>
  <c r="I60" i="9"/>
  <c r="I21" i="9"/>
  <c r="I78" i="9"/>
  <c r="I76" i="9"/>
  <c r="I19" i="9"/>
  <c r="I37" i="9"/>
  <c r="I35" i="9"/>
  <c r="I56" i="9"/>
  <c r="I6" i="9"/>
  <c r="I33" i="9"/>
  <c r="I22" i="9"/>
  <c r="I12" i="9"/>
  <c r="I26" i="9"/>
  <c r="I64" i="9"/>
  <c r="I62" i="9"/>
  <c r="I5" i="9"/>
  <c r="I71" i="9"/>
  <c r="O46" i="9" l="1"/>
  <c r="Q46" i="9" s="1"/>
  <c r="T46" i="9" s="1"/>
  <c r="O89" i="9"/>
  <c r="Q89" i="9" s="1"/>
  <c r="T89" i="9" s="1"/>
  <c r="N4" i="9"/>
  <c r="M87" i="9"/>
  <c r="N87" i="9" s="1"/>
  <c r="J87" i="9"/>
  <c r="M72" i="9"/>
  <c r="N72" i="9" s="1"/>
  <c r="J72" i="9"/>
  <c r="M88" i="9"/>
  <c r="N88" i="9" s="1"/>
  <c r="J88" i="9"/>
  <c r="M11" i="9"/>
  <c r="N11" i="9" s="1"/>
  <c r="J11" i="9"/>
  <c r="M63" i="9"/>
  <c r="N63" i="9" s="1"/>
  <c r="J63" i="9"/>
  <c r="J47" i="9"/>
  <c r="M47" i="9"/>
  <c r="N47" i="9" s="1"/>
  <c r="J83" i="9"/>
  <c r="M83" i="9"/>
  <c r="N83" i="9" s="1"/>
  <c r="J57" i="9"/>
  <c r="M57" i="9"/>
  <c r="N57" i="9" s="1"/>
  <c r="J43" i="9"/>
  <c r="M43" i="9"/>
  <c r="N43" i="9" s="1"/>
  <c r="J34" i="9"/>
  <c r="M34" i="9"/>
  <c r="N34" i="9" s="1"/>
  <c r="M65" i="9"/>
  <c r="N65" i="9" s="1"/>
  <c r="J65" i="9"/>
  <c r="J32" i="9"/>
  <c r="M32" i="9"/>
  <c r="N32" i="9" s="1"/>
  <c r="J52" i="9"/>
  <c r="M52" i="9"/>
  <c r="N52" i="9" s="1"/>
  <c r="M48" i="9"/>
  <c r="N48" i="9" s="1"/>
  <c r="J48" i="9"/>
  <c r="J59" i="9"/>
  <c r="M59" i="9"/>
  <c r="N59" i="9" s="1"/>
  <c r="J13" i="9"/>
  <c r="M13" i="9"/>
  <c r="N13" i="9" s="1"/>
  <c r="M74" i="9"/>
  <c r="N74" i="9" s="1"/>
  <c r="J74" i="9"/>
  <c r="M77" i="9"/>
  <c r="N77" i="9" s="1"/>
  <c r="J77" i="9"/>
  <c r="J36" i="9"/>
  <c r="M36" i="9"/>
  <c r="N36" i="9" s="1"/>
  <c r="M50" i="9"/>
  <c r="N50" i="9" s="1"/>
  <c r="J50" i="9"/>
  <c r="J17" i="9"/>
  <c r="M17" i="9"/>
  <c r="N17" i="9" s="1"/>
  <c r="M18" i="9"/>
  <c r="N18" i="9" s="1"/>
  <c r="J18" i="9"/>
  <c r="M7" i="9"/>
  <c r="N7" i="9" s="1"/>
  <c r="J7" i="9"/>
  <c r="M9" i="9"/>
  <c r="N9" i="9" s="1"/>
  <c r="J9" i="9"/>
  <c r="M66" i="9"/>
  <c r="N66" i="9" s="1"/>
  <c r="J66" i="9"/>
  <c r="J85" i="9"/>
  <c r="M85" i="9"/>
  <c r="N85" i="9" s="1"/>
  <c r="M28" i="9"/>
  <c r="N28" i="9" s="1"/>
  <c r="J28" i="9"/>
  <c r="M67" i="9"/>
  <c r="N67" i="9" s="1"/>
  <c r="J67" i="9"/>
  <c r="J8" i="9"/>
  <c r="M8" i="9"/>
  <c r="N8" i="9" s="1"/>
  <c r="J30" i="9"/>
  <c r="M30" i="9"/>
  <c r="N30" i="9" s="1"/>
  <c r="M75" i="9"/>
  <c r="N75" i="9" s="1"/>
  <c r="J75" i="9"/>
  <c r="J53" i="9"/>
  <c r="M53" i="9"/>
  <c r="N53" i="9" s="1"/>
  <c r="M86" i="9"/>
  <c r="N86" i="9" s="1"/>
  <c r="J86" i="9"/>
  <c r="J69" i="9"/>
  <c r="M69" i="9"/>
  <c r="N69" i="9" s="1"/>
  <c r="M20" i="9"/>
  <c r="N20" i="9" s="1"/>
  <c r="J20" i="9"/>
  <c r="J25" i="9"/>
  <c r="M25" i="9"/>
  <c r="N25" i="9" s="1"/>
  <c r="J79" i="9"/>
  <c r="M79" i="9"/>
  <c r="N79" i="9" s="1"/>
  <c r="M27" i="9"/>
  <c r="N27" i="9" s="1"/>
  <c r="J27" i="9"/>
  <c r="J41" i="9"/>
  <c r="M41" i="9"/>
  <c r="N41" i="9" s="1"/>
  <c r="J81" i="9"/>
  <c r="M81" i="9"/>
  <c r="N81" i="9" s="1"/>
  <c r="J31" i="9"/>
  <c r="M31" i="9"/>
  <c r="N31" i="9" s="1"/>
  <c r="M24" i="9"/>
  <c r="N24" i="9" s="1"/>
  <c r="J24" i="9"/>
  <c r="M16" i="9"/>
  <c r="N16" i="9" s="1"/>
  <c r="J16" i="9"/>
  <c r="J51" i="9"/>
  <c r="M51" i="9"/>
  <c r="N51" i="9" s="1"/>
  <c r="J38" i="9"/>
  <c r="M38" i="9"/>
  <c r="N38" i="9" s="1"/>
  <c r="M61" i="9"/>
  <c r="N61" i="9" s="1"/>
  <c r="J61" i="9"/>
  <c r="J44" i="9"/>
  <c r="M44" i="9"/>
  <c r="N44" i="9" s="1"/>
  <c r="M58" i="9"/>
  <c r="N58" i="9" s="1"/>
  <c r="J58" i="9"/>
  <c r="J84" i="9"/>
  <c r="M84" i="9"/>
  <c r="N84" i="9" s="1"/>
  <c r="J55" i="9"/>
  <c r="M55" i="9"/>
  <c r="N55" i="9" s="1"/>
  <c r="M42" i="9"/>
  <c r="N42" i="9" s="1"/>
  <c r="J42" i="9"/>
  <c r="M15" i="9"/>
  <c r="N15" i="9" s="1"/>
  <c r="J15" i="9"/>
  <c r="J73" i="9"/>
  <c r="M73" i="9"/>
  <c r="N73" i="9" s="1"/>
  <c r="M39" i="9"/>
  <c r="N39" i="9" s="1"/>
  <c r="J39" i="9"/>
  <c r="J70" i="9"/>
  <c r="M70" i="9"/>
  <c r="N70" i="9" s="1"/>
  <c r="M45" i="9"/>
  <c r="N45" i="9" s="1"/>
  <c r="J45" i="9"/>
  <c r="M23" i="9"/>
  <c r="N23" i="9" s="1"/>
  <c r="J23" i="9"/>
  <c r="J29" i="9"/>
  <c r="M29" i="9"/>
  <c r="N29" i="9" s="1"/>
  <c r="M82" i="9"/>
  <c r="N82" i="9" s="1"/>
  <c r="J82" i="9"/>
  <c r="M40" i="9"/>
  <c r="N40" i="9" s="1"/>
  <c r="J40" i="9"/>
  <c r="J14" i="9"/>
  <c r="M14" i="9"/>
  <c r="N14" i="9" s="1"/>
  <c r="M49" i="9"/>
  <c r="N49" i="9" s="1"/>
  <c r="J49" i="9"/>
  <c r="M80" i="9"/>
  <c r="N80" i="9" s="1"/>
  <c r="J80" i="9"/>
  <c r="J68" i="9"/>
  <c r="M68" i="9"/>
  <c r="N68" i="9" s="1"/>
  <c r="M54" i="9"/>
  <c r="N54" i="9" s="1"/>
  <c r="J54" i="9"/>
  <c r="J60" i="9"/>
  <c r="M60" i="9"/>
  <c r="N60" i="9" s="1"/>
  <c r="J21" i="9"/>
  <c r="M21" i="9"/>
  <c r="N21" i="9" s="1"/>
  <c r="J78" i="9"/>
  <c r="M78" i="9"/>
  <c r="N78" i="9" s="1"/>
  <c r="J76" i="9"/>
  <c r="M76" i="9"/>
  <c r="N76" i="9" s="1"/>
  <c r="M19" i="9"/>
  <c r="N19" i="9" s="1"/>
  <c r="J19" i="9"/>
  <c r="J37" i="9"/>
  <c r="M37" i="9"/>
  <c r="N37" i="9" s="1"/>
  <c r="M35" i="9"/>
  <c r="N35" i="9" s="1"/>
  <c r="J35" i="9"/>
  <c r="J56" i="9"/>
  <c r="M56" i="9"/>
  <c r="N56" i="9" s="1"/>
  <c r="J6" i="9"/>
  <c r="M6" i="9"/>
  <c r="N6" i="9" s="1"/>
  <c r="M33" i="9"/>
  <c r="N33" i="9" s="1"/>
  <c r="J33" i="9"/>
  <c r="M22" i="9"/>
  <c r="N22" i="9" s="1"/>
  <c r="J22" i="9"/>
  <c r="J12" i="9"/>
  <c r="M12" i="9"/>
  <c r="N12" i="9" s="1"/>
  <c r="M26" i="9"/>
  <c r="N26" i="9" s="1"/>
  <c r="J26" i="9"/>
  <c r="M64" i="9"/>
  <c r="N64" i="9" s="1"/>
  <c r="J64" i="9"/>
  <c r="J62" i="9"/>
  <c r="M62" i="9"/>
  <c r="N62" i="9" s="1"/>
  <c r="M5" i="9"/>
  <c r="N5" i="9" s="1"/>
  <c r="J5" i="9"/>
  <c r="J71" i="9"/>
  <c r="M71" i="9"/>
  <c r="N71" i="9" s="1"/>
  <c r="M90" i="9" l="1"/>
  <c r="O4" i="9"/>
  <c r="Q4" i="9" s="1"/>
  <c r="T4" i="9" s="1"/>
  <c r="O87" i="9"/>
  <c r="Q87" i="9" s="1"/>
  <c r="T87" i="9" s="1"/>
  <c r="O72" i="9"/>
  <c r="Q72" i="9" s="1"/>
  <c r="T72" i="9" s="1"/>
  <c r="O88" i="9"/>
  <c r="Q88" i="9" s="1"/>
  <c r="T88" i="9" s="1"/>
  <c r="O11" i="9"/>
  <c r="Q11" i="9" s="1"/>
  <c r="T11" i="9" s="1"/>
  <c r="O63" i="9"/>
  <c r="Q63" i="9" s="1"/>
  <c r="T63" i="9" s="1"/>
  <c r="O47" i="9"/>
  <c r="Q47" i="9" s="1"/>
  <c r="T47" i="9" s="1"/>
  <c r="O83" i="9"/>
  <c r="Q83" i="9" s="1"/>
  <c r="T83" i="9" s="1"/>
  <c r="O57" i="9"/>
  <c r="Q57" i="9" s="1"/>
  <c r="T57" i="9" s="1"/>
  <c r="O43" i="9"/>
  <c r="Q43" i="9" s="1"/>
  <c r="T43" i="9" s="1"/>
  <c r="O34" i="9"/>
  <c r="Q34" i="9" s="1"/>
  <c r="T34" i="9" s="1"/>
  <c r="O65" i="9"/>
  <c r="Q65" i="9" s="1"/>
  <c r="T65" i="9" s="1"/>
  <c r="O32" i="9"/>
  <c r="Q32" i="9" s="1"/>
  <c r="T32" i="9" s="1"/>
  <c r="O52" i="9"/>
  <c r="Q52" i="9" s="1"/>
  <c r="T52" i="9" s="1"/>
  <c r="O48" i="9"/>
  <c r="Q48" i="9" s="1"/>
  <c r="T48" i="9" s="1"/>
  <c r="O59" i="9"/>
  <c r="Q59" i="9" s="1"/>
  <c r="T59" i="9" s="1"/>
  <c r="O13" i="9"/>
  <c r="Q13" i="9" s="1"/>
  <c r="T13" i="9" s="1"/>
  <c r="O74" i="9"/>
  <c r="Q74" i="9" s="1"/>
  <c r="T74" i="9" s="1"/>
  <c r="O77" i="9"/>
  <c r="Q77" i="9" s="1"/>
  <c r="T77" i="9" s="1"/>
  <c r="O36" i="9"/>
  <c r="Q36" i="9" s="1"/>
  <c r="T36" i="9" s="1"/>
  <c r="O50" i="9"/>
  <c r="Q50" i="9" s="1"/>
  <c r="T50" i="9" s="1"/>
  <c r="O17" i="9"/>
  <c r="Q17" i="9" s="1"/>
  <c r="T17" i="9" s="1"/>
  <c r="O18" i="9"/>
  <c r="Q18" i="9" s="1"/>
  <c r="T18" i="9" s="1"/>
  <c r="O7" i="9"/>
  <c r="Q7" i="9" s="1"/>
  <c r="T7" i="9" s="1"/>
  <c r="O9" i="9"/>
  <c r="Q9" i="9" s="1"/>
  <c r="T9" i="9" s="1"/>
  <c r="O66" i="9"/>
  <c r="Q66" i="9" s="1"/>
  <c r="T66" i="9" s="1"/>
  <c r="O85" i="9"/>
  <c r="Q85" i="9" s="1"/>
  <c r="T85" i="9" s="1"/>
  <c r="O28" i="9"/>
  <c r="Q28" i="9" s="1"/>
  <c r="T28" i="9" s="1"/>
  <c r="O67" i="9"/>
  <c r="Q67" i="9" s="1"/>
  <c r="T67" i="9" s="1"/>
  <c r="O8" i="9"/>
  <c r="Q8" i="9" s="1"/>
  <c r="T8" i="9" s="1"/>
  <c r="O30" i="9"/>
  <c r="Q30" i="9" s="1"/>
  <c r="T30" i="9" s="1"/>
  <c r="O75" i="9"/>
  <c r="Q75" i="9" s="1"/>
  <c r="T75" i="9" s="1"/>
  <c r="O53" i="9"/>
  <c r="Q53" i="9" s="1"/>
  <c r="T53" i="9" s="1"/>
  <c r="O86" i="9"/>
  <c r="Q86" i="9" s="1"/>
  <c r="T86" i="9" s="1"/>
  <c r="O69" i="9"/>
  <c r="Q69" i="9" s="1"/>
  <c r="T69" i="9" s="1"/>
  <c r="O20" i="9"/>
  <c r="Q20" i="9" s="1"/>
  <c r="T20" i="9" s="1"/>
  <c r="O25" i="9"/>
  <c r="Q25" i="9" s="1"/>
  <c r="T25" i="9" s="1"/>
  <c r="O79" i="9"/>
  <c r="Q79" i="9" s="1"/>
  <c r="T79" i="9" s="1"/>
  <c r="O27" i="9"/>
  <c r="Q27" i="9" s="1"/>
  <c r="T27" i="9" s="1"/>
  <c r="O41" i="9"/>
  <c r="Q41" i="9" s="1"/>
  <c r="T41" i="9" s="1"/>
  <c r="O81" i="9"/>
  <c r="Q81" i="9" s="1"/>
  <c r="T81" i="9" s="1"/>
  <c r="O31" i="9"/>
  <c r="Q31" i="9" s="1"/>
  <c r="T31" i="9" s="1"/>
  <c r="O24" i="9"/>
  <c r="Q24" i="9" s="1"/>
  <c r="T24" i="9" s="1"/>
  <c r="O16" i="9"/>
  <c r="Q16" i="9" s="1"/>
  <c r="T16" i="9" s="1"/>
  <c r="O51" i="9"/>
  <c r="Q51" i="9" s="1"/>
  <c r="T51" i="9" s="1"/>
  <c r="O38" i="9"/>
  <c r="Q38" i="9" s="1"/>
  <c r="T38" i="9" s="1"/>
  <c r="O61" i="9"/>
  <c r="Q61" i="9" s="1"/>
  <c r="T61" i="9" s="1"/>
  <c r="O44" i="9"/>
  <c r="Q44" i="9" s="1"/>
  <c r="T44" i="9" s="1"/>
  <c r="O58" i="9"/>
  <c r="Q58" i="9" s="1"/>
  <c r="T58" i="9" s="1"/>
  <c r="O84" i="9"/>
  <c r="Q84" i="9" s="1"/>
  <c r="T84" i="9" s="1"/>
  <c r="O55" i="9"/>
  <c r="Q55" i="9" s="1"/>
  <c r="T55" i="9" s="1"/>
  <c r="O42" i="9"/>
  <c r="Q42" i="9" s="1"/>
  <c r="T42" i="9" s="1"/>
  <c r="O15" i="9"/>
  <c r="Q15" i="9" s="1"/>
  <c r="T15" i="9" s="1"/>
  <c r="O73" i="9"/>
  <c r="Q73" i="9" s="1"/>
  <c r="T73" i="9" s="1"/>
  <c r="O39" i="9"/>
  <c r="Q39" i="9" s="1"/>
  <c r="T39" i="9" s="1"/>
  <c r="O70" i="9"/>
  <c r="Q70" i="9" s="1"/>
  <c r="T70" i="9" s="1"/>
  <c r="O45" i="9"/>
  <c r="Q45" i="9" s="1"/>
  <c r="T45" i="9" s="1"/>
  <c r="O23" i="9"/>
  <c r="Q23" i="9" s="1"/>
  <c r="T23" i="9" s="1"/>
  <c r="O29" i="9"/>
  <c r="Q29" i="9" s="1"/>
  <c r="T29" i="9" s="1"/>
  <c r="O82" i="9"/>
  <c r="Q82" i="9" s="1"/>
  <c r="T82" i="9" s="1"/>
  <c r="O40" i="9"/>
  <c r="Q40" i="9" s="1"/>
  <c r="T40" i="9" s="1"/>
  <c r="O14" i="9"/>
  <c r="Q14" i="9" s="1"/>
  <c r="T14" i="9" s="1"/>
  <c r="O49" i="9"/>
  <c r="Q49" i="9" s="1"/>
  <c r="T49" i="9" s="1"/>
  <c r="O80" i="9"/>
  <c r="Q80" i="9" s="1"/>
  <c r="T80" i="9" s="1"/>
  <c r="O68" i="9"/>
  <c r="Q68" i="9" s="1"/>
  <c r="T68" i="9" s="1"/>
  <c r="O54" i="9"/>
  <c r="Q54" i="9" s="1"/>
  <c r="T54" i="9" s="1"/>
  <c r="O60" i="9"/>
  <c r="Q60" i="9" s="1"/>
  <c r="T60" i="9" s="1"/>
  <c r="O21" i="9"/>
  <c r="Q21" i="9" s="1"/>
  <c r="T21" i="9" s="1"/>
  <c r="O78" i="9"/>
  <c r="Q78" i="9" s="1"/>
  <c r="T78" i="9" s="1"/>
  <c r="O76" i="9"/>
  <c r="Q76" i="9" s="1"/>
  <c r="T76" i="9" s="1"/>
  <c r="O19" i="9"/>
  <c r="Q19" i="9" s="1"/>
  <c r="T19" i="9" s="1"/>
  <c r="O37" i="9"/>
  <c r="Q37" i="9" s="1"/>
  <c r="T37" i="9" s="1"/>
  <c r="O35" i="9"/>
  <c r="Q35" i="9" s="1"/>
  <c r="T35" i="9" s="1"/>
  <c r="O56" i="9"/>
  <c r="Q56" i="9" s="1"/>
  <c r="T56" i="9" s="1"/>
  <c r="O6" i="9"/>
  <c r="Q6" i="9" s="1"/>
  <c r="T6" i="9" s="1"/>
  <c r="O33" i="9"/>
  <c r="Q33" i="9" s="1"/>
  <c r="T33" i="9" s="1"/>
  <c r="O22" i="9"/>
  <c r="Q22" i="9" s="1"/>
  <c r="T22" i="9" s="1"/>
  <c r="O12" i="9"/>
  <c r="Q12" i="9" s="1"/>
  <c r="T12" i="9" s="1"/>
  <c r="O26" i="9"/>
  <c r="Q26" i="9" s="1"/>
  <c r="T26" i="9" s="1"/>
  <c r="O64" i="9"/>
  <c r="Q64" i="9" s="1"/>
  <c r="T64" i="9" s="1"/>
  <c r="O62" i="9"/>
  <c r="Q62" i="9" s="1"/>
  <c r="T62" i="9" s="1"/>
  <c r="O5" i="9"/>
  <c r="Q5" i="9" s="1"/>
  <c r="T5" i="9" s="1"/>
  <c r="O71" i="9"/>
  <c r="Q71" i="9" s="1"/>
  <c r="T71" i="9" s="1"/>
  <c r="P46" i="9"/>
  <c r="R46" i="9" s="1"/>
  <c r="U46" i="9" s="1"/>
  <c r="W46" i="9" s="1"/>
  <c r="P89" i="9"/>
  <c r="R89" i="9" s="1"/>
  <c r="U89" i="9" s="1"/>
  <c r="W89" i="9" s="1"/>
  <c r="F6" i="6" l="1"/>
  <c r="P4" i="9"/>
  <c r="R4" i="9" s="1"/>
  <c r="U4" i="9" s="1"/>
  <c r="P57" i="9"/>
  <c r="R57" i="9" s="1"/>
  <c r="U57" i="9" s="1"/>
  <c r="W57" i="9" s="1"/>
  <c r="W4" i="9"/>
  <c r="T90" i="9"/>
  <c r="P43" i="9"/>
  <c r="R43" i="9" s="1"/>
  <c r="U43" i="9" s="1"/>
  <c r="W43" i="9" s="1"/>
  <c r="P34" i="9"/>
  <c r="R34" i="9" s="1"/>
  <c r="U34" i="9" s="1"/>
  <c r="W34" i="9" s="1"/>
  <c r="P65" i="9"/>
  <c r="R65" i="9" s="1"/>
  <c r="U65" i="9" s="1"/>
  <c r="W65" i="9" s="1"/>
  <c r="P32" i="9"/>
  <c r="R32" i="9" s="1"/>
  <c r="U32" i="9" s="1"/>
  <c r="W32" i="9" s="1"/>
  <c r="P52" i="9"/>
  <c r="R52" i="9" s="1"/>
  <c r="U52" i="9" s="1"/>
  <c r="W52" i="9" s="1"/>
  <c r="P48" i="9"/>
  <c r="R48" i="9" s="1"/>
  <c r="U48" i="9" s="1"/>
  <c r="W48" i="9" s="1"/>
  <c r="P59" i="9"/>
  <c r="R59" i="9" s="1"/>
  <c r="U59" i="9" s="1"/>
  <c r="W59" i="9" s="1"/>
  <c r="P13" i="9"/>
  <c r="R13" i="9" s="1"/>
  <c r="U13" i="9" s="1"/>
  <c r="W13" i="9" s="1"/>
  <c r="P74" i="9"/>
  <c r="R74" i="9" s="1"/>
  <c r="U74" i="9" s="1"/>
  <c r="W74" i="9" s="1"/>
  <c r="P77" i="9"/>
  <c r="R77" i="9" s="1"/>
  <c r="U77" i="9" s="1"/>
  <c r="W77" i="9" s="1"/>
  <c r="P36" i="9"/>
  <c r="R36" i="9" s="1"/>
  <c r="U36" i="9" s="1"/>
  <c r="W36" i="9" s="1"/>
  <c r="P50" i="9"/>
  <c r="R50" i="9" s="1"/>
  <c r="U50" i="9" s="1"/>
  <c r="W50" i="9" s="1"/>
  <c r="P17" i="9"/>
  <c r="R17" i="9" s="1"/>
  <c r="U17" i="9" s="1"/>
  <c r="W17" i="9" s="1"/>
  <c r="P18" i="9"/>
  <c r="R18" i="9" s="1"/>
  <c r="U18" i="9" s="1"/>
  <c r="W18" i="9" s="1"/>
  <c r="P7" i="9"/>
  <c r="R7" i="9" s="1"/>
  <c r="U7" i="9" s="1"/>
  <c r="W7" i="9" s="1"/>
  <c r="P9" i="9"/>
  <c r="R9" i="9" s="1"/>
  <c r="U9" i="9" s="1"/>
  <c r="W9" i="9" s="1"/>
  <c r="P66" i="9"/>
  <c r="R66" i="9" s="1"/>
  <c r="U66" i="9" s="1"/>
  <c r="W66" i="9" s="1"/>
  <c r="P85" i="9"/>
  <c r="R85" i="9" s="1"/>
  <c r="U85" i="9" s="1"/>
  <c r="W85" i="9" s="1"/>
  <c r="P28" i="9"/>
  <c r="R28" i="9" s="1"/>
  <c r="U28" i="9" s="1"/>
  <c r="W28" i="9" s="1"/>
  <c r="P67" i="9"/>
  <c r="R67" i="9" s="1"/>
  <c r="U67" i="9" s="1"/>
  <c r="W67" i="9" s="1"/>
  <c r="P8" i="9"/>
  <c r="R8" i="9" s="1"/>
  <c r="U8" i="9" s="1"/>
  <c r="W8" i="9" s="1"/>
  <c r="P30" i="9"/>
  <c r="R30" i="9" s="1"/>
  <c r="U30" i="9" s="1"/>
  <c r="W30" i="9" s="1"/>
  <c r="P75" i="9"/>
  <c r="R75" i="9" s="1"/>
  <c r="U75" i="9" s="1"/>
  <c r="W75" i="9" s="1"/>
  <c r="P53" i="9"/>
  <c r="R53" i="9" s="1"/>
  <c r="U53" i="9" s="1"/>
  <c r="W53" i="9" s="1"/>
  <c r="P86" i="9"/>
  <c r="R86" i="9" s="1"/>
  <c r="U86" i="9" s="1"/>
  <c r="W86" i="9" s="1"/>
  <c r="P69" i="9"/>
  <c r="R69" i="9" s="1"/>
  <c r="U69" i="9" s="1"/>
  <c r="W69" i="9" s="1"/>
  <c r="P20" i="9"/>
  <c r="R20" i="9" s="1"/>
  <c r="U20" i="9" s="1"/>
  <c r="W20" i="9" s="1"/>
  <c r="P25" i="9"/>
  <c r="R25" i="9" s="1"/>
  <c r="U25" i="9" s="1"/>
  <c r="W25" i="9" s="1"/>
  <c r="P79" i="9"/>
  <c r="R79" i="9" s="1"/>
  <c r="U79" i="9" s="1"/>
  <c r="W79" i="9" s="1"/>
  <c r="P27" i="9"/>
  <c r="R27" i="9" s="1"/>
  <c r="U27" i="9" s="1"/>
  <c r="W27" i="9" s="1"/>
  <c r="P41" i="9"/>
  <c r="R41" i="9" s="1"/>
  <c r="U41" i="9" s="1"/>
  <c r="W41" i="9" s="1"/>
  <c r="P81" i="9"/>
  <c r="R81" i="9" s="1"/>
  <c r="U81" i="9" s="1"/>
  <c r="W81" i="9" s="1"/>
  <c r="P31" i="9"/>
  <c r="R31" i="9" s="1"/>
  <c r="U31" i="9" s="1"/>
  <c r="W31" i="9" s="1"/>
  <c r="P24" i="9"/>
  <c r="R24" i="9" s="1"/>
  <c r="U24" i="9" s="1"/>
  <c r="W24" i="9" s="1"/>
  <c r="P16" i="9"/>
  <c r="R16" i="9" s="1"/>
  <c r="U16" i="9" s="1"/>
  <c r="W16" i="9" s="1"/>
  <c r="P51" i="9"/>
  <c r="R51" i="9" s="1"/>
  <c r="U51" i="9" s="1"/>
  <c r="W51" i="9" s="1"/>
  <c r="P38" i="9"/>
  <c r="R38" i="9" s="1"/>
  <c r="U38" i="9" s="1"/>
  <c r="W38" i="9" s="1"/>
  <c r="P61" i="9"/>
  <c r="R61" i="9" s="1"/>
  <c r="U61" i="9" s="1"/>
  <c r="W61" i="9" s="1"/>
  <c r="P44" i="9"/>
  <c r="R44" i="9" s="1"/>
  <c r="U44" i="9" s="1"/>
  <c r="W44" i="9" s="1"/>
  <c r="P58" i="9"/>
  <c r="R58" i="9" s="1"/>
  <c r="U58" i="9" s="1"/>
  <c r="W58" i="9" s="1"/>
  <c r="P84" i="9"/>
  <c r="R84" i="9" s="1"/>
  <c r="U84" i="9" s="1"/>
  <c r="W84" i="9" s="1"/>
  <c r="P55" i="9"/>
  <c r="R55" i="9" s="1"/>
  <c r="U55" i="9" s="1"/>
  <c r="W55" i="9" s="1"/>
  <c r="P42" i="9"/>
  <c r="R42" i="9" s="1"/>
  <c r="U42" i="9" s="1"/>
  <c r="W42" i="9" s="1"/>
  <c r="P15" i="9"/>
  <c r="R15" i="9" s="1"/>
  <c r="U15" i="9" s="1"/>
  <c r="W15" i="9" s="1"/>
  <c r="P73" i="9"/>
  <c r="R73" i="9" s="1"/>
  <c r="U73" i="9" s="1"/>
  <c r="W73" i="9" s="1"/>
  <c r="P39" i="9"/>
  <c r="R39" i="9" s="1"/>
  <c r="U39" i="9" s="1"/>
  <c r="W39" i="9" s="1"/>
  <c r="P70" i="9"/>
  <c r="R70" i="9" s="1"/>
  <c r="U70" i="9" s="1"/>
  <c r="W70" i="9" s="1"/>
  <c r="P45" i="9"/>
  <c r="R45" i="9" s="1"/>
  <c r="U45" i="9" s="1"/>
  <c r="W45" i="9" s="1"/>
  <c r="P23" i="9"/>
  <c r="R23" i="9" s="1"/>
  <c r="U23" i="9" s="1"/>
  <c r="W23" i="9" s="1"/>
  <c r="P29" i="9"/>
  <c r="R29" i="9" s="1"/>
  <c r="U29" i="9" s="1"/>
  <c r="W29" i="9" s="1"/>
  <c r="P82" i="9"/>
  <c r="R82" i="9" s="1"/>
  <c r="U82" i="9" s="1"/>
  <c r="W82" i="9" s="1"/>
  <c r="P40" i="9"/>
  <c r="R40" i="9" s="1"/>
  <c r="U40" i="9" s="1"/>
  <c r="W40" i="9" s="1"/>
  <c r="P14" i="9"/>
  <c r="R14" i="9" s="1"/>
  <c r="U14" i="9" s="1"/>
  <c r="W14" i="9" s="1"/>
  <c r="P49" i="9"/>
  <c r="R49" i="9" s="1"/>
  <c r="U49" i="9" s="1"/>
  <c r="W49" i="9" s="1"/>
  <c r="P80" i="9"/>
  <c r="R80" i="9" s="1"/>
  <c r="U80" i="9" s="1"/>
  <c r="W80" i="9" s="1"/>
  <c r="P68" i="9"/>
  <c r="R68" i="9" s="1"/>
  <c r="U68" i="9" s="1"/>
  <c r="W68" i="9" s="1"/>
  <c r="P54" i="9"/>
  <c r="R54" i="9" s="1"/>
  <c r="U54" i="9" s="1"/>
  <c r="W54" i="9" s="1"/>
  <c r="P60" i="9"/>
  <c r="R60" i="9" s="1"/>
  <c r="U60" i="9" s="1"/>
  <c r="W60" i="9" s="1"/>
  <c r="P21" i="9"/>
  <c r="R21" i="9" s="1"/>
  <c r="U21" i="9" s="1"/>
  <c r="W21" i="9" s="1"/>
  <c r="P78" i="9"/>
  <c r="R78" i="9" s="1"/>
  <c r="U78" i="9" s="1"/>
  <c r="W78" i="9" s="1"/>
  <c r="P76" i="9"/>
  <c r="R76" i="9" s="1"/>
  <c r="U76" i="9" s="1"/>
  <c r="W76" i="9" s="1"/>
  <c r="P19" i="9"/>
  <c r="R19" i="9" s="1"/>
  <c r="U19" i="9" s="1"/>
  <c r="W19" i="9" s="1"/>
  <c r="P37" i="9"/>
  <c r="R37" i="9" s="1"/>
  <c r="U37" i="9" s="1"/>
  <c r="W37" i="9" s="1"/>
  <c r="P35" i="9"/>
  <c r="R35" i="9" s="1"/>
  <c r="U35" i="9" s="1"/>
  <c r="W35" i="9" s="1"/>
  <c r="P56" i="9"/>
  <c r="R56" i="9" s="1"/>
  <c r="U56" i="9" s="1"/>
  <c r="W56" i="9" s="1"/>
  <c r="P6" i="9"/>
  <c r="R6" i="9" s="1"/>
  <c r="U6" i="9" s="1"/>
  <c r="W6" i="9" s="1"/>
  <c r="P33" i="9"/>
  <c r="R33" i="9" s="1"/>
  <c r="U33" i="9" s="1"/>
  <c r="W33" i="9" s="1"/>
  <c r="P22" i="9"/>
  <c r="R22" i="9" s="1"/>
  <c r="U22" i="9" s="1"/>
  <c r="W22" i="9" s="1"/>
  <c r="P12" i="9"/>
  <c r="R12" i="9" s="1"/>
  <c r="U12" i="9" s="1"/>
  <c r="W12" i="9" s="1"/>
  <c r="P26" i="9"/>
  <c r="R26" i="9" s="1"/>
  <c r="U26" i="9" s="1"/>
  <c r="W26" i="9" s="1"/>
  <c r="P64" i="9"/>
  <c r="R64" i="9" s="1"/>
  <c r="U64" i="9" s="1"/>
  <c r="W64" i="9" s="1"/>
  <c r="P62" i="9"/>
  <c r="R62" i="9" s="1"/>
  <c r="U62" i="9" s="1"/>
  <c r="W62" i="9" s="1"/>
  <c r="P5" i="9"/>
  <c r="R5" i="9" s="1"/>
  <c r="U5" i="9" s="1"/>
  <c r="W5" i="9" s="1"/>
  <c r="P71" i="9"/>
  <c r="R71" i="9" s="1"/>
  <c r="U71" i="9" s="1"/>
  <c r="W71" i="9" s="1"/>
  <c r="P88" i="9"/>
  <c r="R88" i="9" s="1"/>
  <c r="U88" i="9" s="1"/>
  <c r="W88" i="9" s="1"/>
  <c r="P11" i="9"/>
  <c r="R11" i="9" s="1"/>
  <c r="U11" i="9" s="1"/>
  <c r="W11" i="9" s="1"/>
  <c r="P63" i="9"/>
  <c r="R63" i="9" s="1"/>
  <c r="U63" i="9" s="1"/>
  <c r="W63" i="9" s="1"/>
  <c r="P83" i="9"/>
  <c r="R83" i="9" s="1"/>
  <c r="U83" i="9" s="1"/>
  <c r="W83" i="9" s="1"/>
  <c r="P87" i="9"/>
  <c r="R87" i="9" s="1"/>
  <c r="U87" i="9" s="1"/>
  <c r="W87" i="9" s="1"/>
  <c r="P72" i="9"/>
  <c r="R72" i="9" s="1"/>
  <c r="U72" i="9" s="1"/>
  <c r="W72" i="9" s="1"/>
  <c r="P47" i="9"/>
  <c r="R47" i="9" s="1"/>
  <c r="U47" i="9" s="1"/>
  <c r="W47" i="9" s="1"/>
  <c r="U90" i="9" l="1"/>
  <c r="W90" i="9"/>
  <c r="AA7" i="7" l="1"/>
  <c r="AB7" i="7"/>
  <c r="AD7" i="7"/>
  <c r="AD4" i="7"/>
  <c r="AB4" i="7"/>
  <c r="AA4" i="7"/>
  <c r="AD5" i="7"/>
  <c r="AB5" i="7"/>
  <c r="AA5" i="7"/>
  <c r="AC7" i="7" l="1"/>
  <c r="AG7" i="7" s="1"/>
  <c r="AK7" i="7" s="1"/>
  <c r="AO7" i="7" s="1"/>
  <c r="AF7" i="7"/>
  <c r="AN7" i="7"/>
  <c r="AF4" i="7"/>
  <c r="AN4" i="7"/>
  <c r="AF5" i="7"/>
  <c r="AN5" i="7"/>
  <c r="AC4" i="7"/>
  <c r="AG4" i="7" s="1"/>
  <c r="AC5" i="7"/>
  <c r="AG5" i="7" s="1"/>
  <c r="AK5" i="7" s="1"/>
  <c r="AO5" i="7" s="1"/>
  <c r="AD6" i="7"/>
  <c r="AB6" i="7"/>
  <c r="AA6" i="7"/>
  <c r="I5" i="6" l="1"/>
  <c r="K5" i="6" s="1"/>
  <c r="L5" i="6" s="1"/>
  <c r="I4" i="6"/>
  <c r="AP7" i="7"/>
  <c r="F8" i="12" s="1"/>
  <c r="I8" i="12" s="1"/>
  <c r="K8" i="12" s="1"/>
  <c r="R9" i="3"/>
  <c r="S9" i="3" s="1"/>
  <c r="V9" i="3" s="1"/>
  <c r="T9" i="3"/>
  <c r="AK4" i="7"/>
  <c r="AO4" i="7" s="1"/>
  <c r="AF6" i="7"/>
  <c r="AF9" i="7" s="1"/>
  <c r="AN6" i="7"/>
  <c r="AP5" i="7"/>
  <c r="F6" i="12" s="1"/>
  <c r="I6" i="12" s="1"/>
  <c r="K6" i="12" s="1"/>
  <c r="AC6" i="7"/>
  <c r="AG6" i="7" s="1"/>
  <c r="AK6" i="7" s="1"/>
  <c r="AO6" i="7" s="1"/>
  <c r="R5" i="6" l="1"/>
  <c r="Q5" i="6"/>
  <c r="R4" i="6"/>
  <c r="K4" i="6"/>
  <c r="L4" i="6" s="1"/>
  <c r="Q4" i="6" s="1"/>
  <c r="I6" i="6"/>
  <c r="AP4" i="7"/>
  <c r="AO9" i="7"/>
  <c r="AP6" i="7"/>
  <c r="F7" i="12" s="1"/>
  <c r="I7" i="12" s="1"/>
  <c r="K7" i="12" s="1"/>
  <c r="AN9" i="7"/>
  <c r="AG9" i="7"/>
  <c r="S4" i="6" l="1"/>
  <c r="S5" i="6"/>
  <c r="F4" i="12"/>
  <c r="I4" i="12" s="1"/>
  <c r="K4" i="12" s="1"/>
  <c r="S6" i="6"/>
  <c r="F5" i="12"/>
  <c r="I5" i="12" s="1"/>
  <c r="AP9" i="7"/>
  <c r="C7" i="1" s="1"/>
  <c r="R7" i="3" l="1"/>
  <c r="S7" i="3" s="1"/>
  <c r="V7" i="3" s="1"/>
  <c r="T7" i="3"/>
  <c r="I9" i="12"/>
  <c r="K5" i="12"/>
  <c r="K9" i="12" s="1"/>
  <c r="C34" i="1" s="1"/>
  <c r="Q12" i="3" l="1"/>
  <c r="T5" i="3"/>
  <c r="R5" i="3"/>
  <c r="S5" i="3" s="1"/>
  <c r="T8" i="3"/>
  <c r="R8" i="3"/>
  <c r="S8" i="3" s="1"/>
  <c r="V8" i="3" s="1"/>
  <c r="T6" i="3"/>
  <c r="R6" i="3"/>
  <c r="S6" i="3" s="1"/>
  <c r="V6" i="3" s="1"/>
  <c r="T10" i="3"/>
  <c r="R10" i="3"/>
  <c r="S10" i="3" s="1"/>
  <c r="V10" i="3" s="1"/>
  <c r="R11" i="3"/>
  <c r="S11" i="3" s="1"/>
  <c r="V11" i="3" s="1"/>
  <c r="T11" i="3"/>
  <c r="S12" i="3" l="1"/>
  <c r="C6" i="1" s="1"/>
  <c r="C4" i="1" s="1"/>
  <c r="V5" i="3"/>
  <c r="V12" i="3" s="1"/>
  <c r="C31" i="1" l="1"/>
  <c r="C35" i="1" s="1"/>
  <c r="C27" i="1"/>
  <c r="C13" i="1"/>
  <c r="C15" i="1" s="1"/>
</calcChain>
</file>

<file path=xl/sharedStrings.xml><?xml version="1.0" encoding="utf-8"?>
<sst xmlns="http://schemas.openxmlformats.org/spreadsheetml/2006/main" count="1061" uniqueCount="367">
  <si>
    <t>REEMBOLSO MENSAL</t>
  </si>
  <si>
    <t>REEMBOLSO PRELIMINAR</t>
  </si>
  <si>
    <t>REEMBOLSO MENSAL EFETIVO</t>
  </si>
  <si>
    <t>R$</t>
  </si>
  <si>
    <t>CEG</t>
  </si>
  <si>
    <t>AMAZONAS</t>
  </si>
  <si>
    <t>UTE.PE.AM.030665-7.01</t>
  </si>
  <si>
    <t>AUXILIADORA</t>
  </si>
  <si>
    <t>UTE.PE.AM.000181-3.01</t>
  </si>
  <si>
    <t>AXINIM</t>
  </si>
  <si>
    <t>BORBA</t>
  </si>
  <si>
    <t>UTE.PE.AM.029534-5.01</t>
  </si>
  <si>
    <t>CAMARUÃ</t>
  </si>
  <si>
    <t>COARI</t>
  </si>
  <si>
    <t>CUCUÍ</t>
  </si>
  <si>
    <t>FEIJOAL</t>
  </si>
  <si>
    <t>HUMAITA</t>
  </si>
  <si>
    <t>UTE.PE.AM.027058-0.01</t>
  </si>
  <si>
    <t>ITAPIRANGA</t>
  </si>
  <si>
    <t>MANICORE</t>
  </si>
  <si>
    <t>NOVO ARIPUANÃ</t>
  </si>
  <si>
    <t>UTE.PE.AM.029185-4.01</t>
  </si>
  <si>
    <t>RIO PRETO DA EVA</t>
  </si>
  <si>
    <t>UTE.PE.AM.027132-2.01</t>
  </si>
  <si>
    <t>SILVES</t>
  </si>
  <si>
    <t>CAAPIRANGA</t>
  </si>
  <si>
    <t>TAPAUA</t>
  </si>
  <si>
    <t>Biodiesel</t>
  </si>
  <si>
    <t xml:space="preserve">GERAÇÃO MENSAL TOTAL </t>
  </si>
  <si>
    <t xml:space="preserve">ACRméd </t>
  </si>
  <si>
    <t>FATOR DE CORTE</t>
  </si>
  <si>
    <t>MWh</t>
  </si>
  <si>
    <t>R$/MWh</t>
  </si>
  <si>
    <t>-</t>
  </si>
  <si>
    <t>RIO PRETO  DA EVA</t>
  </si>
  <si>
    <t>O&amp;M 
(R$/MWh)</t>
  </si>
  <si>
    <t>UHE.PH.AM.000190-2.01</t>
  </si>
  <si>
    <t>BALBINA</t>
  </si>
  <si>
    <t>UTE.GN.AM.000092-2.02</t>
  </si>
  <si>
    <t>UTE.GN.AM.000105-8.02</t>
  </si>
  <si>
    <t>UTE.GN.AM.000340-9.02</t>
  </si>
  <si>
    <t>UTE.GN.AM.000788-9.02</t>
  </si>
  <si>
    <t>ANAMÃ</t>
  </si>
  <si>
    <t>ANORI</t>
  </si>
  <si>
    <t>CODAJÁS</t>
  </si>
  <si>
    <t>BK ENERGIA</t>
  </si>
  <si>
    <t>UTE.FL.AM.028348-7.01</t>
  </si>
  <si>
    <t>BK ENERGIA LTDA</t>
  </si>
  <si>
    <t>UTE.GN.AM.037683-3.01</t>
  </si>
  <si>
    <t>UTE.PE.AM.035821-5.01</t>
  </si>
  <si>
    <t>CTG TOTAL</t>
  </si>
  <si>
    <t>PIS / COFINS
ANP
(R$/L)</t>
  </si>
  <si>
    <t>ICMS
ANP
(R$/L)</t>
  </si>
  <si>
    <t>PIS / COFINS 
(R$/L)</t>
  </si>
  <si>
    <t>ICMS
NF
(R$/L)</t>
  </si>
  <si>
    <t>POWERTECH</t>
  </si>
  <si>
    <t>UTE.PE.AM.037729-5.01</t>
  </si>
  <si>
    <t>UTE.PE.AM.035817-7.01</t>
  </si>
  <si>
    <t>UTE.PE.AM.035813-4.01</t>
  </si>
  <si>
    <t>CUSTO TOTAL DA GERAÇÃO EFICIENTE</t>
  </si>
  <si>
    <t>UTE BBF IPIXUNA</t>
  </si>
  <si>
    <t>UTE.PE.AM.035824-0.01</t>
  </si>
  <si>
    <t>UTE.PE.AM.035825-8.01</t>
  </si>
  <si>
    <t>UTE BBF ESTIRÃO DO EQUADOR</t>
  </si>
  <si>
    <t>UTE.PE.AM.037703-1.01</t>
  </si>
  <si>
    <t>UTE.PE.AM.037714-7.01</t>
  </si>
  <si>
    <t>UTE.PE.AM.037704-0.01</t>
  </si>
  <si>
    <t>UTE.PE.AM.037692-2.01</t>
  </si>
  <si>
    <t>UTE.PE.AM.037713-9.01</t>
  </si>
  <si>
    <t>UTE.PE.AM.035820-7.01</t>
  </si>
  <si>
    <t>BBF</t>
  </si>
  <si>
    <t>UTE.PE.AM.035827-4.01</t>
  </si>
  <si>
    <t>UTE BBF PALMEIRAS DO JAVARI</t>
  </si>
  <si>
    <t>UTE.PE.AM.037723-6.01</t>
  </si>
  <si>
    <t>UTE BERURI - COE</t>
  </si>
  <si>
    <t>UTE.PE.AM.037717-1.01</t>
  </si>
  <si>
    <t>UTE.PE.AM.037716-3.01</t>
  </si>
  <si>
    <t>UTE ITAPURU - COE</t>
  </si>
  <si>
    <t>UTE.PE.AM.037696-5.01</t>
  </si>
  <si>
    <t>UTE.PE.AM.037697-3.01</t>
  </si>
  <si>
    <t>UTE NOVO REMANSO - COE</t>
  </si>
  <si>
    <t>UTE.PE.AM.037707-4.01</t>
  </si>
  <si>
    <t>UTE TUIUÉ - COE</t>
  </si>
  <si>
    <t>UTE.PE.AM.035819-3.01</t>
  </si>
  <si>
    <t>UTE.PE.AM.035840-1.01</t>
  </si>
  <si>
    <t>UTE.PE.AM.035810-0.01</t>
  </si>
  <si>
    <t>UTE.PE.AM.037724-4.01</t>
  </si>
  <si>
    <t>UTE ARARAS - COE</t>
  </si>
  <si>
    <t>UTE.PE.AM.037684-1.01</t>
  </si>
  <si>
    <t>UTE AUGUSTO MONTENEGRO - COE</t>
  </si>
  <si>
    <t>UTE.PE.AM.037737-6.01</t>
  </si>
  <si>
    <t>UTE.PE.AM.037735-0.01</t>
  </si>
  <si>
    <t>UTE.PE.AM.037721-0.01</t>
  </si>
  <si>
    <t>UTE CAMPINAS - COE</t>
  </si>
  <si>
    <t>UTE.PE.AM.037722-8.01</t>
  </si>
  <si>
    <t>UTE CANUTAMA - COE</t>
  </si>
  <si>
    <t>UTE.PE.AM.037720-1.01</t>
  </si>
  <si>
    <t>UTE CAREIRO DA VÁRZEA - COE</t>
  </si>
  <si>
    <t>UTE.PE.AM.037715-5.01</t>
  </si>
  <si>
    <t>UTE LÁBREA - COE</t>
  </si>
  <si>
    <t>UTE.PE.AM.037711-2.01</t>
  </si>
  <si>
    <t>UTE SACAMBÚ - COE</t>
  </si>
  <si>
    <t>UTE.PE.AM.037690-6.01</t>
  </si>
  <si>
    <t>UTE SANTANA DO UATUMÃ - COE</t>
  </si>
  <si>
    <t>UTE.PE.AM.037699-0.01</t>
  </si>
  <si>
    <t>UTE SÃO SEBASTIÃO DO UATUMÃ - COE</t>
  </si>
  <si>
    <t>UTE.PE.AM.037708-2.01</t>
  </si>
  <si>
    <t>UTE TAPAUÁ - COE</t>
  </si>
  <si>
    <t>UTE.PE.AM.037698-1.01</t>
  </si>
  <si>
    <t>UTE URUCARÁ - COE</t>
  </si>
  <si>
    <t>UTE.PE.AM.037705-8.01</t>
  </si>
  <si>
    <t>UTE URUCURITUBA + ITAPEAÇÚ - COE</t>
  </si>
  <si>
    <t>UTE.PE.AM.035823-1.01</t>
  </si>
  <si>
    <t>UTE.PE.AM.035818-5.01</t>
  </si>
  <si>
    <t>UTE.PE.AM.035839-8.01</t>
  </si>
  <si>
    <t>UTE.PE.AM.037691-4.01</t>
  </si>
  <si>
    <t>UTE BARCELOS - COE</t>
  </si>
  <si>
    <t>UTE.PE.AM.037702-3.01</t>
  </si>
  <si>
    <t>UTE BARREIRINHA - COE</t>
  </si>
  <si>
    <t>UTE.PE.AM.037725-2.01</t>
  </si>
  <si>
    <t>UTE BOCA DO ACRE - COE</t>
  </si>
  <si>
    <t>UTE.PE.AM.037687-6.01</t>
  </si>
  <si>
    <t>UTE CABORÍ - COE</t>
  </si>
  <si>
    <t>UTE.PE.AM.037688-4.01</t>
  </si>
  <si>
    <t>UTE MOCAMBO - COE</t>
  </si>
  <si>
    <t>UTE.PE.AM.037685-0.01</t>
  </si>
  <si>
    <t>UTE MOURA - COE</t>
  </si>
  <si>
    <t>UTE.PE.AM.037689-2.01</t>
  </si>
  <si>
    <t>UTE.PE.AM.037734-1.01</t>
  </si>
  <si>
    <t>UTE.PE.AM.037712-0.01</t>
  </si>
  <si>
    <t>UTE PARAUÁ - COE</t>
  </si>
  <si>
    <t>UTE.PE.AM.037706-6.01</t>
  </si>
  <si>
    <t>UTE PAUINÍ - COE</t>
  </si>
  <si>
    <t>UTE.PE.AM.037693-0.01</t>
  </si>
  <si>
    <t>UTE SANTA ISABEL DO RIO NEGRO - COE</t>
  </si>
  <si>
    <t>UTE.PE.AM.037710-4.01</t>
  </si>
  <si>
    <t>UTE VILA DE URUCURITUBA - COE</t>
  </si>
  <si>
    <t>UTE BBF ENVIRA</t>
  </si>
  <si>
    <t>OLIVEIRA</t>
  </si>
  <si>
    <t>UTE BOA VISTA DO RAMOS + CAMETÁ - COE</t>
  </si>
  <si>
    <t>UTE MANAQUIRI - COE</t>
  </si>
  <si>
    <t>UTE MAUÉS - COE</t>
  </si>
  <si>
    <t>UTE NOVO AIRÃO - COE</t>
  </si>
  <si>
    <t>UTE NOVO CÉU - COE</t>
  </si>
  <si>
    <t>VP FLEX</t>
  </si>
  <si>
    <t>UTE.PE.AM.035838-0.01</t>
  </si>
  <si>
    <t>UTE.PE.AM.035811-8.01</t>
  </si>
  <si>
    <t>UTE.PE.AM.035816-9.01</t>
  </si>
  <si>
    <t>UTE.PE.AM.037686-8.01</t>
  </si>
  <si>
    <t>UTE CARVOEIRO - COE</t>
  </si>
  <si>
    <t>UTE.PE.AM.037719-8.01</t>
  </si>
  <si>
    <t>UTE CASTANHO II - COE</t>
  </si>
  <si>
    <t>UTE.PE.AM.037701-5.01</t>
  </si>
  <si>
    <t>UTE PEDRAS - COE</t>
  </si>
  <si>
    <t>UTE.PE.AM.037700-7.01</t>
  </si>
  <si>
    <t>UTE VILA AMAZÔNIA + ZÉ AÇÚ - COE</t>
  </si>
  <si>
    <t>UTE.PE.AM.035829-0.01</t>
  </si>
  <si>
    <t>UTE.PE.AM.035815-0.01</t>
  </si>
  <si>
    <t>UTE.PE.AM.035814-2.01</t>
  </si>
  <si>
    <t>UTE.PE.AM.035837-1.01</t>
  </si>
  <si>
    <t>UTE AUTAZES –VPTM</t>
  </si>
  <si>
    <t>UTE BORBA–VPTM</t>
  </si>
  <si>
    <t>UTE CAVIANA – COE</t>
  </si>
  <si>
    <t>UTE LINDÓIA – COE</t>
  </si>
  <si>
    <t>UTE NHAMUNDÁ – COE</t>
  </si>
  <si>
    <t>UTE NOVA OLINDA DO NORTE–VPTM</t>
  </si>
  <si>
    <t>UTE VILA DE BELO MONTE - COE</t>
  </si>
  <si>
    <t>UTE.PE.AM.035834-7.01</t>
  </si>
  <si>
    <t>UTE.PE.AM.037718-0.01</t>
  </si>
  <si>
    <t>UTE CASTANHO I - COE</t>
  </si>
  <si>
    <t>UTE.PE.AM.037709-0.01</t>
  </si>
  <si>
    <t>UTE.PE.AM.035809-6.01</t>
  </si>
  <si>
    <t>UTE.PE.AM.035826-6.01</t>
  </si>
  <si>
    <t>UTE.PE.AM.035833-9.01</t>
  </si>
  <si>
    <t>UTE.PE.AM.035822-3.01</t>
  </si>
  <si>
    <t>UTE.PE.AM.037736-8.01</t>
  </si>
  <si>
    <t>UTE SÃO GABRIEL DA CACHOEIRA-VPTM</t>
  </si>
  <si>
    <t>UTE.PE.AM.035830-4.01</t>
  </si>
  <si>
    <t>UTE.PE.AM.035836-3.01</t>
  </si>
  <si>
    <t>UTE.PE.AM.037733-3.01</t>
  </si>
  <si>
    <t>UTE.PE.AM.035812-6.01</t>
  </si>
  <si>
    <t>UTE.PE.AM.035835-5.01</t>
  </si>
  <si>
    <t>AGREKKO</t>
  </si>
  <si>
    <t>ALTEROSA - CGA</t>
  </si>
  <si>
    <t>ALVARÃES - CGA</t>
  </si>
  <si>
    <t>BENJAMIN CONSTANT + ATALAIA DO NORTE - CGA</t>
  </si>
  <si>
    <t>CAIAMBÉ - CGA</t>
  </si>
  <si>
    <t>CARAUARI - CGA</t>
  </si>
  <si>
    <t>FONTE BOA - CGA</t>
  </si>
  <si>
    <t>ITAMARATI - CGA</t>
  </si>
  <si>
    <t>JAPURÁ - CGA</t>
  </si>
  <si>
    <t>JURUÁ - CGA</t>
  </si>
  <si>
    <t>JUTAÍ - CGA</t>
  </si>
  <si>
    <t>LIMOEIRO - CGA</t>
  </si>
  <si>
    <t>MARAÃ - CGA</t>
  </si>
  <si>
    <t>MURITUBA - CGA</t>
  </si>
  <si>
    <t>SÃO PAULO DE OLIVENÇA - CGA</t>
  </si>
  <si>
    <t>TABATINGA - CGA</t>
  </si>
  <si>
    <t>TEFÉ - CGA</t>
  </si>
  <si>
    <t>UARINI - CGA</t>
  </si>
  <si>
    <t>UTE MANICORÉ - POWERTECH</t>
  </si>
  <si>
    <t>IPIRANGA - CGA</t>
  </si>
  <si>
    <t>AMATURÁ - CGA</t>
  </si>
  <si>
    <t>TONANTINS - CGA</t>
  </si>
  <si>
    <t>EIRUNEPÉ - CGA</t>
  </si>
  <si>
    <t>BETÂNIA - CGA</t>
  </si>
  <si>
    <t>VILA BITENCOURT - CGA</t>
  </si>
  <si>
    <t>SANTO ANTÔNIO DO IÇÁ - CGA</t>
  </si>
  <si>
    <t>TAMANIQUÁ - CGA</t>
  </si>
  <si>
    <t>UTE.PE.AM.037726-0.01</t>
  </si>
  <si>
    <t>SUCUNDURI</t>
  </si>
  <si>
    <t>UTE.PE.AM.037727-9.01</t>
  </si>
  <si>
    <t>VILA DE MATUPI</t>
  </si>
  <si>
    <t>UTE.PE.AM.037728-7.01</t>
  </si>
  <si>
    <t>UTE.PE.AM.037730-9.01</t>
  </si>
  <si>
    <t>UTE.PE.AM.037731-7.01</t>
  </si>
  <si>
    <t>UTE.PE.AM.037732-5.01</t>
  </si>
  <si>
    <t>APUÍ</t>
  </si>
  <si>
    <t>UTE.PE.AM.035828-2.01</t>
  </si>
  <si>
    <t>UTE.PE.AM.035831-2.01</t>
  </si>
  <si>
    <t>BELÉM DO SOLIMÕES</t>
  </si>
  <si>
    <t>AGGREKO</t>
  </si>
  <si>
    <t>UTE.PE.AM.035832-0.01</t>
  </si>
  <si>
    <t>SANTA RITA DO WELL</t>
  </si>
  <si>
    <t>UTE.PE.AM.037694-9.01</t>
  </si>
  <si>
    <t>UTE.PE.AM.037695-7.01</t>
  </si>
  <si>
    <t>IAUARETÊ</t>
  </si>
  <si>
    <t>ELETRONORTE (AmGT)</t>
  </si>
  <si>
    <t>SIGFI 80</t>
  </si>
  <si>
    <t>UTE.PE.AM.055254-2.01</t>
  </si>
  <si>
    <t>MANICORE II</t>
  </si>
  <si>
    <t>Ajuste Competência Anterior</t>
  </si>
  <si>
    <t>1 - combustível</t>
  </si>
  <si>
    <t>2 - geração própria</t>
  </si>
  <si>
    <t>3 - contrato</t>
  </si>
  <si>
    <t>4 - gas natural</t>
  </si>
  <si>
    <t>beneficiário</t>
  </si>
  <si>
    <t>usina</t>
  </si>
  <si>
    <t>localidade</t>
  </si>
  <si>
    <t>localidade ANP</t>
  </si>
  <si>
    <t>combustível</t>
  </si>
  <si>
    <t>combustível eficiente
(L)</t>
  </si>
  <si>
    <t>combustível ineficiente
(L)</t>
  </si>
  <si>
    <t xml:space="preserve">preço
ANP
(R$/L) </t>
  </si>
  <si>
    <t>preço ANP sem impostos
(R$/L)</t>
  </si>
  <si>
    <t>total
combustível NFs
(L)</t>
  </si>
  <si>
    <t>preço NF sem ICMS (R$/L)</t>
  </si>
  <si>
    <t>preço NF sem impostos (R$/L)</t>
  </si>
  <si>
    <t>total PIS/Cofins NF (R$)</t>
  </si>
  <si>
    <t>total
ICMS NF
(R$)</t>
  </si>
  <si>
    <t>liminar</t>
  </si>
  <si>
    <t>preço unitário
(R$/L)</t>
  </si>
  <si>
    <t>preço ICMS
(R$/L)</t>
  </si>
  <si>
    <t>preço PIS / COFINS
(R$/L)</t>
  </si>
  <si>
    <t>% ICMS não recuperado</t>
  </si>
  <si>
    <t>% PIS / COFINS não recuperado</t>
  </si>
  <si>
    <t>custo OD eficiente (R$)</t>
  </si>
  <si>
    <t>custo tributo eficiente (R$)</t>
  </si>
  <si>
    <t>custo total OD eficiente (R$)</t>
  </si>
  <si>
    <t>custo tributo ineficiente (R$)</t>
  </si>
  <si>
    <t>custo total OD ineficiente (R$)</t>
  </si>
  <si>
    <t>reembolso mensal CCC - AMAZONAS</t>
  </si>
  <si>
    <t>competência:</t>
  </si>
  <si>
    <t>potência homologada 
(MW)</t>
  </si>
  <si>
    <t>geração 
(MWh)</t>
  </si>
  <si>
    <t>própria</t>
  </si>
  <si>
    <t>locação</t>
  </si>
  <si>
    <t>percentual rateio</t>
  </si>
  <si>
    <t>geração rateada</t>
  </si>
  <si>
    <t>própria 
(MWh)</t>
  </si>
  <si>
    <t>aluguel 
(MWh)</t>
  </si>
  <si>
    <t>O&amp;M total 
(R$)</t>
  </si>
  <si>
    <t>receita fixa despacho
(R$/MWh)</t>
  </si>
  <si>
    <t>receita fixa EP
total 
despacho
(R$)</t>
  </si>
  <si>
    <t>equipamento próprio</t>
  </si>
  <si>
    <t>receita fixa anexo IV
(R$/MWh)</t>
  </si>
  <si>
    <t>receita fixa 
LC total 
anexo IV 
(R$)</t>
  </si>
  <si>
    <t>NF locação (valor líquido + PIS/COFINS não recuperado)
(R$)</t>
  </si>
  <si>
    <t>anexo III
x
 contrato
(R$)</t>
  </si>
  <si>
    <t>equipamento locação</t>
  </si>
  <si>
    <t>contrato
(R$)</t>
  </si>
  <si>
    <t>total custo eficiente (R$)</t>
  </si>
  <si>
    <t>total custo ineficiente (R$)</t>
  </si>
  <si>
    <t>custo total</t>
  </si>
  <si>
    <t>fornecedor</t>
  </si>
  <si>
    <t>geração revisão tarifária - contrato (MWh)</t>
  </si>
  <si>
    <t>potência contratada
(MW)</t>
  </si>
  <si>
    <t>valor unitário contrato (R$/MWh)</t>
  </si>
  <si>
    <t>total (geração x valor unitário contrato) (R$)</t>
  </si>
  <si>
    <t>valor NF bruto
(R$)</t>
  </si>
  <si>
    <t>valor considerado (R$)</t>
  </si>
  <si>
    <t>valor unitário considerado (R$/MWh)</t>
  </si>
  <si>
    <t>valor unitário ICMS considerado (R$)</t>
  </si>
  <si>
    <t>valor unitário PIS/COFINS considerado (R$)</t>
  </si>
  <si>
    <t>% não recuperado de ICMS</t>
  </si>
  <si>
    <t>% não recuperado de PIS / COFINS</t>
  </si>
  <si>
    <t>custo líquido (R$)</t>
  </si>
  <si>
    <t>custo tributo
(R$)</t>
  </si>
  <si>
    <t>custo total (R$)</t>
  </si>
  <si>
    <t>consumo combustível (m³)</t>
  </si>
  <si>
    <t>potência efetiva
(MW)</t>
  </si>
  <si>
    <t>preço potência - contrato (R$/MW)</t>
  </si>
  <si>
    <t>preço potência ICMS - contrato  (R$/MW)</t>
  </si>
  <si>
    <t>preço potência PIS/COFINS - contrato  (R$/MW)</t>
  </si>
  <si>
    <t>preço potência líquido - contrato (R$/MW)</t>
  </si>
  <si>
    <t>preço O&amp;M - contrato (R$/MWh)</t>
  </si>
  <si>
    <t>preço O&amp;M ICMS - contrato  (R$/MWh)</t>
  </si>
  <si>
    <t>preço O&amp;M PIS/COFINS - contrato  (R$/MWh)</t>
  </si>
  <si>
    <t>preço O&amp;M líquido - contrato (R$/MWh)</t>
  </si>
  <si>
    <t>valor total contrato pot, energia, O&amp;M (R$)</t>
  </si>
  <si>
    <t>valor NF bruto pot, energia, O&amp;M (R$)</t>
  </si>
  <si>
    <t>valor considerado pot, energia, O&amp;M  (R$)</t>
  </si>
  <si>
    <t>valor líquido contrato pot, energia, O&amp;M (R$)</t>
  </si>
  <si>
    <t>valor NF líquido pot, energia, O&amp;M (R$)</t>
  </si>
  <si>
    <t>valor ICMS NF pot, energia, O&amp;M (R$)</t>
  </si>
  <si>
    <t>valor PIS/COFINS NF pot, energia, O&amp;M (R$)</t>
  </si>
  <si>
    <t>valor líquido considerado pot, energia, O&amp;M  (R$)</t>
  </si>
  <si>
    <t>preço combustível bruto (R$/MWh)</t>
  </si>
  <si>
    <t>preço combustível ICMS (R$/MWh)</t>
  </si>
  <si>
    <t>preço combustível PIS/COFINS (R$/MWh)</t>
  </si>
  <si>
    <t>preço combustível líquido (R$/MWh)</t>
  </si>
  <si>
    <t>valor total contrato combustível (R$)</t>
  </si>
  <si>
    <t>valor NF bruto combustível (R$)</t>
  </si>
  <si>
    <t>valor considerado combustível (R$)</t>
  </si>
  <si>
    <t>valor líquido contrato combustível (R$)</t>
  </si>
  <si>
    <t>valor NF líquido combustível (R$)</t>
  </si>
  <si>
    <t>valor ICMS NF combustível (R$)</t>
  </si>
  <si>
    <t>valor PIS/COFINS NF combustível (R$)</t>
  </si>
  <si>
    <t>valor líquido considerado combustível (R$)</t>
  </si>
  <si>
    <t>% não recuperado de ICMS (R$)</t>
  </si>
  <si>
    <t>% não recuperado de PIS / COFINS (R$)</t>
  </si>
  <si>
    <t>custo tributos (R$)</t>
  </si>
  <si>
    <t>valor de receita variável CCESI (R$)</t>
  </si>
  <si>
    <t>valor de receita fixa mensal CCESI (R$)</t>
  </si>
  <si>
    <t>valor de receita de venda CCESI (R$)</t>
  </si>
  <si>
    <t>valor NF bruto (R$)</t>
  </si>
  <si>
    <t>valor unitário NF (R$/MWh)</t>
  </si>
  <si>
    <t>valor considerado CCESI (R$)</t>
  </si>
  <si>
    <t>valor unitário bruto considerado (R$/MWh)</t>
  </si>
  <si>
    <t>valor unitário PIS/COFINS (R$/MWh)</t>
  </si>
  <si>
    <t>valor unitário líquido  considerado (R$/MWh)</t>
  </si>
  <si>
    <t>valor total PIS/COFINS (R$)</t>
  </si>
  <si>
    <t>custo líquido CCESI (R$)</t>
  </si>
  <si>
    <t>custo PIS / COFINS (R$)</t>
  </si>
  <si>
    <t>custo liquido (R$)</t>
  </si>
  <si>
    <t>desconto (ajuste do mês anterior + penalidade)</t>
  </si>
  <si>
    <t>modelo</t>
  </si>
  <si>
    <t>potência por unidade (MW)</t>
  </si>
  <si>
    <t>n° de sistemas</t>
  </si>
  <si>
    <t>potência (disponib.) [MWh]/mês</t>
  </si>
  <si>
    <t>custo de O&amp;M atualizado (R$/MWh)</t>
  </si>
  <si>
    <t>custo O&amp;M unitário [R$/MW.h]</t>
  </si>
  <si>
    <t>custo total O&amp;M [R$]</t>
  </si>
  <si>
    <t>ACRmédio</t>
  </si>
  <si>
    <t>Fator de corte</t>
  </si>
  <si>
    <t>Reembolso Mensal por usina</t>
  </si>
  <si>
    <t>REEMBOLSO ELETRONORTE DESPACHO N° 3418/2023</t>
  </si>
  <si>
    <t>reembolso mensal CCC - despacho n° 3.418/2023</t>
  </si>
  <si>
    <t>custo OD ineficiente (R$)</t>
  </si>
  <si>
    <t>REEMBOLSO PRELIMINAR BBF DESPACHO N°916/2024</t>
  </si>
  <si>
    <t>MP 855</t>
  </si>
  <si>
    <t>CUSTO TOTAL DA GERAÇÃO INEFICIENTE</t>
  </si>
  <si>
    <t>REEMBOLSO MENSAL TOTAL INEFICIENTE</t>
  </si>
  <si>
    <t>IPCA base (09/2025)</t>
  </si>
  <si>
    <t>Custo anual de manutenção (CAM)</t>
  </si>
  <si>
    <t>Amazonas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</si>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</sst>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_-* #,##0_-;\-* #,##0_-;_-* &quot;-&quot;??_-;_-@_-"/>
    <numFmt numFmtId="166" formatCode="mmmm/yyyy"/>
    <numFmt numFmtId="167" formatCode="_-* #,##0.000_-;\-* #,##0.000_-;_-* &quot;-&quot;??_-;_-@_-"/>
    <numFmt numFmtId="168" formatCode="#,##0.0"/>
    <numFmt numFmtId="169" formatCode="_-* #,##0.0_-;\-* #,##0.0_-;_-* &quot;-&quot;??_-;_-@_-"/>
    <numFmt numFmtId="170" formatCode="0.000"/>
    <numFmt numFmtId="171" formatCode="_-* #,##0.0000000_-;\-* #,##0.0000000_-;_-* &quot;-&quot;??_-;_-@_-"/>
  </numFmts>
  <fonts count="35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sz val="11"/>
      <color theme="0"/>
      <name val="Inter"/>
      <family val="2"/>
      <scheme val="minor"/>
    </font>
    <font>
      <b/>
      <i/>
      <sz val="22"/>
      <color rgb="FF002060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u val="double"/>
      <sz val="11"/>
      <color rgb="FF002060"/>
      <name val="Inter"/>
      <family val="2"/>
      <scheme val="minor"/>
    </font>
    <font>
      <sz val="11"/>
      <color theme="0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b/>
      <i/>
      <sz val="12"/>
      <color theme="4"/>
      <name val="Inter"/>
      <family val="2"/>
      <scheme val="minor"/>
    </font>
    <font>
      <b/>
      <sz val="11"/>
      <color theme="4"/>
      <name val="Inter"/>
      <family val="2"/>
      <scheme val="minor"/>
    </font>
    <font>
      <sz val="11"/>
      <color theme="4"/>
      <name val="Inter"/>
      <family val="2"/>
      <scheme val="minor"/>
    </font>
    <font>
      <b/>
      <u val="double"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  <font>
      <b/>
      <u val="doubleAccounting"/>
      <sz val="11"/>
      <color theme="4"/>
      <name val="Inter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u val="singleAccounting"/>
      <sz val="11"/>
      <color theme="3"/>
      <name val="Inter"/>
      <family val="3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8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3" borderId="5" applyNumberFormat="0" applyAlignment="0" applyProtection="0"/>
    <xf numFmtId="0" fontId="25" fillId="13" borderId="5" applyNumberFormat="0" applyAlignment="0" applyProtection="0"/>
    <xf numFmtId="0" fontId="26" fillId="26" borderId="6" applyNumberFormat="0" applyAlignment="0" applyProtection="0"/>
    <xf numFmtId="0" fontId="18" fillId="0" borderId="7" applyNumberFormat="0" applyFill="0" applyAlignment="0" applyProtection="0"/>
    <xf numFmtId="0" fontId="26" fillId="26" borderId="6" applyNumberFormat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7" fillId="13" borderId="5" applyNumberFormat="0" applyAlignment="0" applyProtection="0"/>
    <xf numFmtId="0" fontId="32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7" fillId="12" borderId="5" applyNumberFormat="0" applyAlignment="0" applyProtection="0"/>
    <xf numFmtId="0" fontId="18" fillId="0" borderId="7" applyNumberFormat="0" applyFill="0" applyAlignment="0" applyProtection="0"/>
    <xf numFmtId="0" fontId="29" fillId="27" borderId="0" applyNumberFormat="0" applyBorder="0" applyAlignment="0" applyProtection="0"/>
    <xf numFmtId="0" fontId="16" fillId="0" borderId="0"/>
    <xf numFmtId="0" fontId="16" fillId="28" borderId="11" applyNumberFormat="0" applyFont="0" applyAlignment="0" applyProtection="0"/>
    <xf numFmtId="0" fontId="17" fillId="28" borderId="11" applyNumberFormat="0" applyFont="0" applyAlignment="0" applyProtection="0"/>
    <xf numFmtId="0" fontId="30" fillId="13" borderId="12" applyNumberFormat="0" applyAlignment="0" applyProtection="0"/>
    <xf numFmtId="0" fontId="30" fillId="13" borderId="1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1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0" borderId="0" xfId="2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3" fontId="0" fillId="0" borderId="0" xfId="0" applyNumberFormat="1"/>
    <xf numFmtId="14" fontId="6" fillId="0" borderId="0" xfId="2" applyNumberFormat="1" applyFont="1" applyAlignment="1">
      <alignment vertical="center"/>
    </xf>
    <xf numFmtId="0" fontId="7" fillId="0" borderId="0" xfId="0" applyFont="1"/>
    <xf numFmtId="43" fontId="7" fillId="0" borderId="0" xfId="4" applyFont="1"/>
    <xf numFmtId="166" fontId="6" fillId="0" borderId="0" xfId="0" applyNumberFormat="1" applyFont="1" applyAlignment="1">
      <alignment horizontal="center" vertical="top"/>
    </xf>
    <xf numFmtId="166" fontId="6" fillId="0" borderId="0" xfId="0" applyNumberFormat="1" applyFont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10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2" applyFont="1" applyAlignment="1">
      <alignment vertical="center"/>
    </xf>
    <xf numFmtId="3" fontId="15" fillId="0" borderId="0" xfId="0" applyNumberFormat="1" applyFont="1" applyAlignment="1">
      <alignment vertical="center"/>
    </xf>
    <xf numFmtId="43" fontId="15" fillId="0" borderId="0" xfId="0" applyNumberFormat="1" applyFont="1" applyAlignment="1">
      <alignment vertical="center"/>
    </xf>
    <xf numFmtId="9" fontId="15" fillId="0" borderId="0" xfId="1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left" vertical="center"/>
    </xf>
    <xf numFmtId="43" fontId="12" fillId="0" borderId="0" xfId="0" applyNumberFormat="1" applyFont="1"/>
    <xf numFmtId="0" fontId="14" fillId="0" borderId="0" xfId="0" applyFont="1"/>
    <xf numFmtId="3" fontId="13" fillId="0" borderId="0" xfId="0" applyNumberFormat="1" applyFont="1"/>
    <xf numFmtId="4" fontId="13" fillId="0" borderId="0" xfId="0" applyNumberFormat="1" applyFont="1"/>
    <xf numFmtId="0" fontId="13" fillId="0" borderId="0" xfId="0" applyFont="1" applyAlignment="1">
      <alignment vertical="center"/>
    </xf>
    <xf numFmtId="167" fontId="13" fillId="0" borderId="0" xfId="0" applyNumberFormat="1" applyFont="1" applyAlignment="1">
      <alignment vertical="center"/>
    </xf>
    <xf numFmtId="43" fontId="13" fillId="0" borderId="0" xfId="0" applyNumberFormat="1" applyFont="1" applyAlignment="1">
      <alignment vertical="center"/>
    </xf>
    <xf numFmtId="9" fontId="13" fillId="0" borderId="0" xfId="1" applyFont="1" applyAlignment="1">
      <alignment vertical="center"/>
    </xf>
    <xf numFmtId="0" fontId="13" fillId="0" borderId="0" xfId="0" applyFont="1"/>
    <xf numFmtId="3" fontId="13" fillId="0" borderId="0" xfId="4" applyNumberFormat="1" applyFont="1"/>
    <xf numFmtId="43" fontId="13" fillId="0" borderId="0" xfId="4" applyFont="1"/>
    <xf numFmtId="43" fontId="14" fillId="0" borderId="0" xfId="4" applyFont="1"/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top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70" fontId="0" fillId="0" borderId="4" xfId="0" applyNumberFormat="1" applyBorder="1" applyAlignment="1">
      <alignment horizontal="center" vertical="center"/>
    </xf>
    <xf numFmtId="165" fontId="0" fillId="0" borderId="4" xfId="4" applyNumberFormat="1" applyFont="1" applyBorder="1" applyAlignment="1">
      <alignment horizontal="left" vertical="center"/>
    </xf>
    <xf numFmtId="4" fontId="0" fillId="0" borderId="4" xfId="0" applyNumberFormat="1" applyBorder="1" applyAlignment="1">
      <alignment vertical="center"/>
    </xf>
    <xf numFmtId="169" fontId="0" fillId="0" borderId="4" xfId="0" applyNumberFormat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11" fillId="3" borderId="4" xfId="0" applyNumberFormat="1" applyFont="1" applyFill="1" applyBorder="1" applyAlignment="1">
      <alignment horizontal="center" vertical="center" wrapText="1"/>
    </xf>
    <xf numFmtId="43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9" fontId="0" fillId="0" borderId="4" xfId="1" applyFont="1" applyBorder="1" applyAlignment="1">
      <alignment horizontal="center" vertical="center"/>
    </xf>
    <xf numFmtId="3" fontId="0" fillId="2" borderId="4" xfId="0" applyNumberFormat="1" applyFill="1" applyBorder="1" applyAlignment="1">
      <alignment horizontal="right" vertical="center"/>
    </xf>
    <xf numFmtId="4" fontId="0" fillId="2" borderId="4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9" fontId="0" fillId="0" borderId="4" xfId="0" applyNumberFormat="1" applyBorder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3" borderId="4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9" fontId="0" fillId="0" borderId="4" xfId="0" applyNumberFormat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 wrapText="1"/>
    </xf>
    <xf numFmtId="9" fontId="11" fillId="3" borderId="4" xfId="1" applyFont="1" applyFill="1" applyBorder="1" applyAlignment="1">
      <alignment horizontal="center" vertical="center" wrapText="1"/>
    </xf>
    <xf numFmtId="167" fontId="0" fillId="0" borderId="4" xfId="0" applyNumberFormat="1" applyBorder="1" applyAlignment="1">
      <alignment horizontal="right" vertical="center"/>
    </xf>
    <xf numFmtId="168" fontId="0" fillId="0" borderId="4" xfId="0" applyNumberFormat="1" applyBorder="1" applyAlignment="1">
      <alignment horizontal="right" vertical="center"/>
    </xf>
    <xf numFmtId="41" fontId="0" fillId="0" borderId="4" xfId="0" applyNumberFormat="1" applyBorder="1" applyAlignment="1">
      <alignment vertical="center"/>
    </xf>
    <xf numFmtId="4" fontId="0" fillId="0" borderId="4" xfId="1" applyNumberFormat="1" applyFont="1" applyBorder="1" applyAlignment="1">
      <alignment vertical="center"/>
    </xf>
    <xf numFmtId="9" fontId="11" fillId="3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43" fontId="11" fillId="3" borderId="4" xfId="0" applyNumberFormat="1" applyFont="1" applyFill="1" applyBorder="1" applyAlignment="1">
      <alignment horizontal="left" vertical="center"/>
    </xf>
    <xf numFmtId="43" fontId="11" fillId="3" borderId="4" xfId="0" applyNumberFormat="1" applyFont="1" applyFill="1" applyBorder="1" applyAlignment="1">
      <alignment horizontal="right" vertical="center"/>
    </xf>
    <xf numFmtId="43" fontId="11" fillId="3" borderId="4" xfId="4" applyFont="1" applyFill="1" applyBorder="1" applyAlignment="1">
      <alignment horizontal="right" vertical="center"/>
    </xf>
    <xf numFmtId="0" fontId="2" fillId="5" borderId="4" xfId="0" applyFont="1" applyFill="1" applyBorder="1"/>
    <xf numFmtId="0" fontId="8" fillId="5" borderId="4" xfId="0" applyFont="1" applyFill="1" applyBorder="1"/>
    <xf numFmtId="3" fontId="0" fillId="6" borderId="4" xfId="0" applyNumberFormat="1" applyFill="1" applyBorder="1" applyAlignment="1">
      <alignment vertical="center"/>
    </xf>
    <xf numFmtId="0" fontId="0" fillId="0" borderId="4" xfId="0" quotePrefix="1" applyBorder="1" applyAlignment="1">
      <alignment vertical="center"/>
    </xf>
    <xf numFmtId="43" fontId="0" fillId="0" borderId="4" xfId="4" applyFont="1" applyBorder="1" applyAlignment="1">
      <alignment vertical="center"/>
    </xf>
    <xf numFmtId="2" fontId="0" fillId="0" borderId="4" xfId="4" applyNumberFormat="1" applyFont="1" applyBorder="1" applyAlignment="1">
      <alignment vertical="center"/>
    </xf>
    <xf numFmtId="43" fontId="34" fillId="0" borderId="0" xfId="0" applyNumberFormat="1" applyFont="1"/>
    <xf numFmtId="43" fontId="0" fillId="0" borderId="0" xfId="4" applyFont="1"/>
    <xf numFmtId="0" fontId="11" fillId="29" borderId="4" xfId="0" applyFont="1" applyFill="1" applyBorder="1" applyAlignment="1">
      <alignment horizontal="left" vertical="center"/>
    </xf>
    <xf numFmtId="0" fontId="11" fillId="29" borderId="4" xfId="0" applyFont="1" applyFill="1" applyBorder="1" applyAlignment="1">
      <alignment horizontal="center" vertical="center"/>
    </xf>
    <xf numFmtId="43" fontId="11" fillId="29" borderId="4" xfId="0" applyNumberFormat="1" applyFont="1" applyFill="1" applyBorder="1" applyAlignment="1">
      <alignment horizontal="right" vertical="center"/>
    </xf>
    <xf numFmtId="171" fontId="0" fillId="0" borderId="0" xfId="4" applyNumberFormat="1" applyFont="1" applyBorder="1"/>
    <xf numFmtId="171" fontId="0" fillId="0" borderId="0" xfId="4" quotePrefix="1" applyNumberFormat="1" applyFont="1" applyBorder="1"/>
    <xf numFmtId="0" fontId="11" fillId="3" borderId="4" xfId="0" applyFont="1" applyFill="1" applyBorder="1" applyAlignment="1">
      <alignment horizontal="center" vertical="center" wrapText="1"/>
    </xf>
  </cellXfs>
  <cellStyles count="86">
    <cellStyle name="20% - Accent1" xfId="6" xr:uid="{8D7C0ABF-BCB7-4FE6-B107-E37A8B4FBD51}"/>
    <cellStyle name="20% - Accent2" xfId="7" xr:uid="{5DAB63F5-6D57-424C-B5EF-08D9799D22B2}"/>
    <cellStyle name="20% - Accent3" xfId="8" xr:uid="{C29F2540-C3DE-47F8-BECD-939586E722DF}"/>
    <cellStyle name="20% - Accent4" xfId="9" xr:uid="{CD333B26-B819-4DE1-9FA6-2D7B3D24BD82}"/>
    <cellStyle name="20% - Accent5" xfId="10" xr:uid="{F61E7D51-2CBD-4941-8DF1-0AC82E08E1FE}"/>
    <cellStyle name="20% - Accent6" xfId="11" xr:uid="{940B0B8C-4505-4631-A6D2-C6B502C81611}"/>
    <cellStyle name="20% - Ênfase1 2" xfId="12" xr:uid="{E33CAEE1-E168-476C-A085-6890D748DFF8}"/>
    <cellStyle name="20% - Ênfase2 2" xfId="13" xr:uid="{D2708FDD-9B4F-453F-9BC6-3667F4672F4C}"/>
    <cellStyle name="20% - Ênfase3 2" xfId="14" xr:uid="{14281814-B41F-4A74-A796-76432C3B49B4}"/>
    <cellStyle name="20% - Ênfase4 2" xfId="15" xr:uid="{1196C55C-D5ED-4414-BF1C-F79BF3454F6D}"/>
    <cellStyle name="20% - Ênfase5 2" xfId="16" xr:uid="{62FB3F7D-10A4-4DF3-8511-8EDE0D3A1354}"/>
    <cellStyle name="20% - Ênfase6 2" xfId="17" xr:uid="{0ED828E0-A8B4-458E-AA50-30EC4B32B27B}"/>
    <cellStyle name="40% - Accent1" xfId="18" xr:uid="{04F99040-DA41-4BF5-96B2-98205FE64CD3}"/>
    <cellStyle name="40% - Accent2" xfId="19" xr:uid="{C55250DC-EAEF-46D4-81C0-877CE6087E1A}"/>
    <cellStyle name="40% - Accent3" xfId="20" xr:uid="{A1CC8728-1B8D-4161-8060-331F35317FCA}"/>
    <cellStyle name="40% - Accent4" xfId="21" xr:uid="{91C424B4-7FD1-4B67-BD51-29BD59B10B5E}"/>
    <cellStyle name="40% - Accent5" xfId="22" xr:uid="{756766B1-C1F3-4723-90B8-18E930A9EFFC}"/>
    <cellStyle name="40% - Accent6" xfId="23" xr:uid="{23F933DD-BA03-4B5B-9048-D4F4E091511C}"/>
    <cellStyle name="40% - Ênfase1 2" xfId="24" xr:uid="{CE9EA79D-4B0F-4201-B4DF-88A3BD4088A3}"/>
    <cellStyle name="40% - Ênfase2 2" xfId="25" xr:uid="{F274CE86-66F3-4FEC-84A5-538D0FBC302E}"/>
    <cellStyle name="40% - Ênfase3 2" xfId="26" xr:uid="{78B4252A-119E-46AB-89BA-B8DE1F854FE5}"/>
    <cellStyle name="40% - Ênfase4 2" xfId="27" xr:uid="{D6AB0505-C759-47BA-B5CA-821DF3609C3C}"/>
    <cellStyle name="40% - Ênfase5 2" xfId="28" xr:uid="{61902865-B268-4D4C-B65F-A60816502EFB}"/>
    <cellStyle name="40% - Ênfase6 2" xfId="29" xr:uid="{61E4B530-BE7B-406E-BFA2-CA1407501030}"/>
    <cellStyle name="60% - Accent1" xfId="30" xr:uid="{87D9B433-6DF8-4791-B984-92BB3DE91ADE}"/>
    <cellStyle name="60% - Accent2" xfId="31" xr:uid="{20BB6648-DEEA-4AA2-9431-204FB5E3D95D}"/>
    <cellStyle name="60% - Accent3" xfId="32" xr:uid="{1E782FE2-BEF5-4723-897E-AE6556D2E77B}"/>
    <cellStyle name="60% - Accent4" xfId="33" xr:uid="{73DB71F1-0A7C-44AB-9428-D3FC89EA6C98}"/>
    <cellStyle name="60% - Accent5" xfId="34" xr:uid="{C55D226C-15D5-42B3-9E43-79C1C36451B0}"/>
    <cellStyle name="60% - Accent6" xfId="35" xr:uid="{F86A89ED-C4DB-42A5-A00F-266B5152F750}"/>
    <cellStyle name="60% - Ênfase1 2" xfId="36" xr:uid="{C8D05E66-0C74-4353-97C0-5F8074CC01F6}"/>
    <cellStyle name="60% - Ênfase2 2" xfId="37" xr:uid="{8C8280A2-2EBD-49A5-BA77-6F9E2EDED42E}"/>
    <cellStyle name="60% - Ênfase3 2" xfId="38" xr:uid="{111703A9-7E13-4EAD-95F1-A7D627BAC572}"/>
    <cellStyle name="60% - Ênfase4 2" xfId="39" xr:uid="{83E876BD-2F20-43C1-933B-A43A83DC63B4}"/>
    <cellStyle name="60% - Ênfase5 2" xfId="40" xr:uid="{B144087C-374C-49A0-A3CA-E9D3EE1F314B}"/>
    <cellStyle name="60% - Ênfase6 2" xfId="41" xr:uid="{7CB525C5-8285-4E65-9623-9E0C2E705D8A}"/>
    <cellStyle name="Accent1" xfId="42" xr:uid="{15C16C49-453B-47E8-83D9-94ED45F886E6}"/>
    <cellStyle name="Accent2" xfId="43" xr:uid="{BC04E6DF-2F1B-45EC-920F-5B742A09E3B4}"/>
    <cellStyle name="Accent3" xfId="44" xr:uid="{5EE690B1-FAFC-4F36-A6E5-C41A4D28DB29}"/>
    <cellStyle name="Accent4" xfId="45" xr:uid="{B36201CD-3A65-4A98-85B0-2D3FB3588478}"/>
    <cellStyle name="Accent5" xfId="46" xr:uid="{CC636019-27CA-47B6-9D8A-9DC2DF34E15A}"/>
    <cellStyle name="Accent6" xfId="47" xr:uid="{834489FC-974C-4521-8EFB-4C924A040921}"/>
    <cellStyle name="Bad" xfId="48" xr:uid="{2772981D-B50E-4550-AECB-D689C02868D8}"/>
    <cellStyle name="Bom 2" xfId="49" xr:uid="{BC76CAE3-A2B9-47FA-9A4E-C32D967FD256}"/>
    <cellStyle name="Calculation" xfId="50" xr:uid="{8E5BA915-24B4-4DED-A918-8F68E82414E2}"/>
    <cellStyle name="Cálculo 2" xfId="51" xr:uid="{E593317A-A9D8-4C95-AB71-50B206DF282C}"/>
    <cellStyle name="Célula de Verificação 2" xfId="52" xr:uid="{B86482B6-6219-4ECB-A0CF-F4096AE5DECB}"/>
    <cellStyle name="Célula Vinculada 2" xfId="53" xr:uid="{847B9B8B-CEBE-4DB8-98B3-DAB79001E3C2}"/>
    <cellStyle name="Check Cell" xfId="54" xr:uid="{2D100C00-E545-480D-9083-C626C34CDDCE}"/>
    <cellStyle name="Ênfase1 2" xfId="55" xr:uid="{C7BA7DF4-C27D-4013-9924-0FB5B8D99DA4}"/>
    <cellStyle name="Ênfase2 2" xfId="56" xr:uid="{C59CCF8D-7FCE-4A60-AD75-4542CAADEC81}"/>
    <cellStyle name="Ênfase3 2" xfId="57" xr:uid="{F4D4B700-8D8F-4928-8DA2-8473A4457A49}"/>
    <cellStyle name="Ênfase4 2" xfId="58" xr:uid="{BD1EA748-BF7D-4B5B-B3E1-395AEE8977A0}"/>
    <cellStyle name="Ênfase5 2" xfId="59" xr:uid="{ED73B0F3-C8EB-4F68-A1F0-58A2CA71B021}"/>
    <cellStyle name="Ênfase6 2" xfId="60" xr:uid="{60104915-64FB-4F1B-9109-79A568C1FD5B}"/>
    <cellStyle name="Entrada 2" xfId="61" xr:uid="{7FFFC15F-FEFB-4D88-96EE-325093FC6766}"/>
    <cellStyle name="Explanatory Text" xfId="62" xr:uid="{CABE3C62-9E45-4590-BAD1-40A4580AEF60}"/>
    <cellStyle name="Good" xfId="63" xr:uid="{B23A3B06-BD2E-4ED5-8478-CDD9B0EC816B}"/>
    <cellStyle name="Heading 1" xfId="64" xr:uid="{2A208339-4C10-462C-96C1-4B80FEE36DAD}"/>
    <cellStyle name="Heading 2" xfId="65" xr:uid="{1EBE8A72-8235-4639-9459-2A99F0A10236}"/>
    <cellStyle name="Heading 3" xfId="66" xr:uid="{47A8A8AE-FF84-4968-86FB-5AF39CE10FEE}"/>
    <cellStyle name="Heading 4" xfId="67" xr:uid="{A4DE1254-AD2B-4AF9-9AA8-FEE8B9E43DD2}"/>
    <cellStyle name="Input" xfId="68" xr:uid="{2F6ADA74-CCE2-4890-84CC-D8F96B44ADB5}"/>
    <cellStyle name="Linked Cell" xfId="69" xr:uid="{B1774360-6153-4B05-9B73-001552C73A79}"/>
    <cellStyle name="Moeda 2" xfId="3" xr:uid="{00000000-0005-0000-0000-000000000000}"/>
    <cellStyle name="Neutral" xfId="70" xr:uid="{8D6F8984-8D72-41DE-9129-08C8BECE74B0}"/>
    <cellStyle name="Normal" xfId="0" builtinId="0"/>
    <cellStyle name="Normal 2" xfId="71" xr:uid="{45F22957-3AD7-4826-ABBC-FC7EA3D83204}"/>
    <cellStyle name="Normal 3" xfId="5" xr:uid="{95912751-0360-464D-8839-354288D7A2C7}"/>
    <cellStyle name="Nota 2" xfId="72" xr:uid="{A7413867-924C-4B3E-9C7C-04945BD90BC0}"/>
    <cellStyle name="Note" xfId="73" xr:uid="{3BD883AA-5D54-4771-B850-F3FAED617E60}"/>
    <cellStyle name="Output" xfId="74" xr:uid="{B24AA81A-1EE5-41F1-B9D0-510D75E3AB3B}"/>
    <cellStyle name="Porcentagem" xfId="1" builtinId="5"/>
    <cellStyle name="Saída 2" xfId="75" xr:uid="{2D240D6B-83AA-4670-9B34-7281FC56A147}"/>
    <cellStyle name="Texto de Aviso 2" xfId="76" xr:uid="{E8AE7FC4-55E7-45A2-A9F4-3F5B82467531}"/>
    <cellStyle name="Texto Explicativo 2" xfId="77" xr:uid="{B0187DB5-27E1-46F5-9DBA-2228A3B378A0}"/>
    <cellStyle name="Title" xfId="78" xr:uid="{9DAC5007-AAB4-495B-AA6A-406947D3E4D7}"/>
    <cellStyle name="Título 1 2" xfId="80" xr:uid="{F4263671-217C-486A-9D37-053D96DE8C66}"/>
    <cellStyle name="Título 2 2" xfId="81" xr:uid="{354F9E58-204E-40C1-A9E8-93A99E351F23}"/>
    <cellStyle name="Título 3 2" xfId="82" xr:uid="{8C0DA075-9CBE-4C92-B00D-45C2808A83B3}"/>
    <cellStyle name="Título 4 2" xfId="83" xr:uid="{96211EB4-61A4-44F2-B14F-0E9DC0E0F848}"/>
    <cellStyle name="Título 5" xfId="79" xr:uid="{802B3202-9EAE-4FF3-8705-188642C400BF}"/>
    <cellStyle name="Total 2" xfId="84" xr:uid="{E9D6927A-C3ED-4D93-B64F-BFA8B39C46D5}"/>
    <cellStyle name="Vírgula" xfId="4" builtinId="3"/>
    <cellStyle name="Vírgula 2" xfId="2" xr:uid="{00000000-0005-0000-0000-000004000000}"/>
    <cellStyle name="Warning Text" xfId="85" xr:uid="{F2BCD9BA-25AF-4CD7-9705-027F2A6C6D6F}"/>
  </cellStyles>
  <dxfs count="0"/>
  <tableStyles count="1" defaultTableStyle="TableStyleMedium2" defaultPivotStyle="PivotStyleLight16">
    <tableStyle name="Invisible" pivot="0" table="0" count="0" xr9:uid="{F9040DD0-D709-4DAE-B7ED-7FAE8562DAD9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952327B3-F0FE-4ED6-BB35-31CC6B48F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BB361F1A-E3A3-44DE-AB2E-77E837D8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14448" cy="421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5350D768-79D5-4B60-9F82-10339C56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91F15A38-2B65-4D50-8A60-A4B784E01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FC9399EE-F48E-47E8-AEF6-7EB4D2B3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A106FA39-F3F3-44D9-B807-B483BC77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BBA7CFCB-8FAE-4AAD-93DC-31302209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16407B26-DDFF-453F-A123-D4E5365D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topLeftCell="A25" zoomScaleNormal="100" workbookViewId="0">
      <selection activeCell="C35" sqref="C35"/>
    </sheetView>
  </sheetViews>
  <sheetFormatPr defaultColWidth="9.1640625" defaultRowHeight="19.5" customHeight="1"/>
  <cols>
    <col min="1" max="1" width="70.6640625" customWidth="1"/>
    <col min="2" max="2" width="15.6640625" customWidth="1"/>
    <col min="3" max="3" width="30.6640625" customWidth="1"/>
    <col min="4" max="5" width="15.1640625" customWidth="1"/>
    <col min="6" max="6" width="14.6640625" customWidth="1"/>
    <col min="8" max="9" width="18.4140625" customWidth="1"/>
  </cols>
  <sheetData>
    <row r="1" spans="1:8" ht="49.5" customHeight="1">
      <c r="C1" s="50" t="s">
        <v>261</v>
      </c>
    </row>
    <row r="2" spans="1:8" ht="19.5" customHeight="1">
      <c r="B2" s="51" t="s">
        <v>262</v>
      </c>
      <c r="C2" s="19">
        <v>46143</v>
      </c>
    </row>
    <row r="3" spans="1:8" ht="19.5" customHeight="1">
      <c r="B3" s="1"/>
      <c r="C3" s="2"/>
    </row>
    <row r="4" spans="1:8" ht="30" customHeight="1">
      <c r="A4" s="88" t="s">
        <v>59</v>
      </c>
      <c r="B4" s="89" t="s">
        <v>3</v>
      </c>
      <c r="C4" s="90">
        <f>SUM(C5:C8)</f>
        <v>447413298.5298506</v>
      </c>
    </row>
    <row r="5" spans="1:8" ht="19.5" customHeight="1">
      <c r="A5" s="75" t="s">
        <v>232</v>
      </c>
      <c r="B5" s="56" t="s">
        <v>3</v>
      </c>
      <c r="C5" s="64">
        <f>'COMBUSTÍVEL OD'!AB12</f>
        <v>11556688.63316557</v>
      </c>
      <c r="D5" s="15"/>
      <c r="E5" s="15"/>
      <c r="F5" s="15"/>
    </row>
    <row r="6" spans="1:8" ht="19.5" customHeight="1">
      <c r="A6" s="75" t="s">
        <v>233</v>
      </c>
      <c r="B6" s="56" t="s">
        <v>3</v>
      </c>
      <c r="C6" s="64">
        <f>'GERAÇÃO PRÓPRIA'!S12+SIGFI!$K$6</f>
        <v>5780780.289451059</v>
      </c>
      <c r="D6" s="15"/>
      <c r="E6" s="15"/>
      <c r="F6" s="15"/>
    </row>
    <row r="7" spans="1:8" ht="19.5" customHeight="1">
      <c r="A7" s="75" t="s">
        <v>234</v>
      </c>
      <c r="B7" s="56" t="s">
        <v>3</v>
      </c>
      <c r="C7" s="64">
        <f>'CONTRATOS CCVEE'!$S$6+'CONTRATOS GAS'!$AP$9+'CONTRATOS CCESI'!W90+'CONTRATOS CCESI'!V180</f>
        <v>430075829.60723394</v>
      </c>
      <c r="D7" s="15"/>
      <c r="E7" s="15"/>
      <c r="F7" s="15"/>
      <c r="H7" s="15"/>
    </row>
    <row r="8" spans="1:8" ht="19.5" customHeight="1">
      <c r="A8" s="75" t="s">
        <v>235</v>
      </c>
      <c r="B8" s="56" t="s">
        <v>3</v>
      </c>
      <c r="C8" s="64">
        <v>0</v>
      </c>
      <c r="D8" s="15"/>
      <c r="E8" s="15"/>
      <c r="F8" s="15"/>
      <c r="H8" s="15"/>
    </row>
    <row r="9" spans="1:8" ht="19.5" customHeight="1">
      <c r="A9" s="75"/>
      <c r="B9" s="56"/>
      <c r="C9" s="64"/>
      <c r="F9" s="15"/>
      <c r="H9" s="15"/>
    </row>
    <row r="10" spans="1:8" ht="19.5" customHeight="1">
      <c r="A10" s="75" t="s">
        <v>28</v>
      </c>
      <c r="B10" s="56" t="s">
        <v>31</v>
      </c>
      <c r="C10" s="64">
        <f>'GERAÇÃO PRÓPRIA'!E12+'CONTRATOS CCVEE'!E6+'CONTRATOS GAS'!E9+'CONTRATOS CCESI'!E90+SIGFI!$E$6</f>
        <v>268634.829287</v>
      </c>
      <c r="D10" s="22"/>
      <c r="E10" s="15"/>
      <c r="F10" s="15"/>
      <c r="H10" s="15"/>
    </row>
    <row r="11" spans="1:8" ht="19.5" customHeight="1">
      <c r="A11" s="75" t="s">
        <v>29</v>
      </c>
      <c r="B11" s="56" t="s">
        <v>32</v>
      </c>
      <c r="C11" s="64">
        <v>342.71</v>
      </c>
      <c r="E11" s="15"/>
      <c r="F11" s="15"/>
      <c r="H11" s="15"/>
    </row>
    <row r="12" spans="1:8" ht="19.5" customHeight="1">
      <c r="A12" s="75" t="s">
        <v>30</v>
      </c>
      <c r="B12" s="56" t="s">
        <v>33</v>
      </c>
      <c r="C12" s="64">
        <v>0.78300000000000003</v>
      </c>
      <c r="E12" s="15"/>
      <c r="F12" s="15"/>
      <c r="H12" s="15"/>
    </row>
    <row r="13" spans="1:8" ht="19.5" customHeight="1">
      <c r="A13" s="88" t="s">
        <v>0</v>
      </c>
      <c r="B13" s="89" t="s">
        <v>3</v>
      </c>
      <c r="C13" s="91">
        <f>ROUND((C4- (C10*C11))*C12,2)</f>
        <v>278238624.19</v>
      </c>
      <c r="E13" s="15"/>
      <c r="F13" s="15"/>
      <c r="H13" s="15"/>
    </row>
    <row r="14" spans="1:8" ht="19.5" customHeight="1">
      <c r="A14" s="88" t="s">
        <v>1</v>
      </c>
      <c r="B14" s="89" t="s">
        <v>3</v>
      </c>
      <c r="C14" s="92">
        <f>C32+C33</f>
        <v>274749194.29000002</v>
      </c>
      <c r="E14" s="15"/>
      <c r="F14" s="15"/>
      <c r="H14" s="15"/>
    </row>
    <row r="15" spans="1:8" ht="19.5" customHeight="1">
      <c r="A15" s="88" t="s">
        <v>2</v>
      </c>
      <c r="B15" s="89" t="s">
        <v>3</v>
      </c>
      <c r="C15" s="91">
        <f>ROUND(C13-C14,2)</f>
        <v>3489429.9</v>
      </c>
      <c r="E15" s="15"/>
      <c r="F15" s="15"/>
      <c r="H15" s="15"/>
    </row>
    <row r="16" spans="1:8" ht="19.5" customHeight="1">
      <c r="H16" s="15"/>
    </row>
    <row r="17" spans="1:9" ht="19.5" customHeight="1">
      <c r="A17" s="93" t="s">
        <v>360</v>
      </c>
      <c r="B17" s="94"/>
      <c r="C17" s="94"/>
      <c r="H17" s="15"/>
    </row>
    <row r="18" spans="1:9" ht="19.5" customHeight="1">
      <c r="A18" s="88" t="s">
        <v>361</v>
      </c>
      <c r="B18" s="89" t="s">
        <v>3</v>
      </c>
      <c r="C18" s="90">
        <f>SUM(C19:C22)</f>
        <v>479738.16063424811</v>
      </c>
    </row>
    <row r="19" spans="1:9" ht="19.5" customHeight="1">
      <c r="A19" s="75" t="s">
        <v>232</v>
      </c>
      <c r="B19" s="56" t="s">
        <v>3</v>
      </c>
      <c r="C19" s="64">
        <f>'COMBUSTÍVEL OD'!AE12</f>
        <v>479738.16063424811</v>
      </c>
      <c r="E19" s="15"/>
      <c r="F19" s="15"/>
      <c r="H19" s="104"/>
      <c r="I19" s="104"/>
    </row>
    <row r="20" spans="1:9" ht="19.5" customHeight="1">
      <c r="A20" s="75" t="s">
        <v>233</v>
      </c>
      <c r="B20" s="56" t="s">
        <v>3</v>
      </c>
      <c r="C20" s="64">
        <f>'GERAÇÃO PRÓPRIA'!U12</f>
        <v>0</v>
      </c>
      <c r="E20" s="15"/>
      <c r="F20" s="15"/>
      <c r="H20" s="104"/>
      <c r="I20" s="104"/>
    </row>
    <row r="21" spans="1:9" ht="19.5" customHeight="1">
      <c r="A21" s="75" t="s">
        <v>234</v>
      </c>
      <c r="B21" s="56" t="s">
        <v>3</v>
      </c>
      <c r="C21" s="64">
        <v>0</v>
      </c>
      <c r="E21" s="15"/>
      <c r="F21" s="15"/>
      <c r="H21" s="105"/>
      <c r="I21" s="104"/>
    </row>
    <row r="22" spans="1:9" ht="19.5" customHeight="1">
      <c r="A22" s="75" t="s">
        <v>235</v>
      </c>
      <c r="B22" s="56" t="s">
        <v>3</v>
      </c>
      <c r="C22" s="64">
        <v>0</v>
      </c>
      <c r="E22" s="15"/>
      <c r="F22" s="15"/>
      <c r="H22" s="15"/>
    </row>
    <row r="23" spans="1:9" ht="19.5" customHeight="1">
      <c r="A23" s="75"/>
      <c r="B23" s="56"/>
      <c r="C23" s="64"/>
      <c r="H23" s="21"/>
    </row>
    <row r="24" spans="1:9" ht="19.5" customHeight="1">
      <c r="A24" s="75" t="s">
        <v>28</v>
      </c>
      <c r="B24" s="56" t="s">
        <v>31</v>
      </c>
      <c r="C24" s="64">
        <f>C10</f>
        <v>268634.829287</v>
      </c>
      <c r="E24" s="15"/>
      <c r="F24" s="15"/>
      <c r="H24" s="15"/>
    </row>
    <row r="25" spans="1:9" ht="19.5" customHeight="1">
      <c r="A25" s="75" t="s">
        <v>29</v>
      </c>
      <c r="B25" s="56" t="s">
        <v>32</v>
      </c>
      <c r="C25" s="64">
        <f t="shared" ref="C25" si="0">C11</f>
        <v>342.71</v>
      </c>
      <c r="E25" s="15"/>
      <c r="F25" s="15"/>
      <c r="H25" s="21"/>
    </row>
    <row r="26" spans="1:9" ht="19.5" customHeight="1">
      <c r="A26" s="75" t="s">
        <v>30</v>
      </c>
      <c r="B26" s="56" t="s">
        <v>33</v>
      </c>
      <c r="C26" s="64">
        <v>1</v>
      </c>
      <c r="E26" s="15"/>
      <c r="F26" s="15"/>
    </row>
    <row r="27" spans="1:9" ht="19.5" customHeight="1">
      <c r="A27" s="88" t="s">
        <v>362</v>
      </c>
      <c r="B27" s="89" t="s">
        <v>3</v>
      </c>
      <c r="C27" s="91">
        <f>ROUND(((C18+C4)- (C24*C25))*C26,2)</f>
        <v>355829194.35000002</v>
      </c>
      <c r="E27" s="15"/>
      <c r="F27" s="15"/>
      <c r="H27" s="15"/>
    </row>
    <row r="30" spans="1:9" ht="19.5" customHeight="1">
      <c r="A30" s="93" t="s">
        <v>50</v>
      </c>
      <c r="B30" s="94"/>
      <c r="C30" s="94"/>
    </row>
    <row r="31" spans="1:9" ht="19.5" customHeight="1">
      <c r="A31" s="88" t="s">
        <v>0</v>
      </c>
      <c r="B31" s="89" t="s">
        <v>3</v>
      </c>
      <c r="C31" s="91">
        <f>ROUND(((C4+C18)-(C10*C11))*C26,2)</f>
        <v>355829194.35000002</v>
      </c>
      <c r="D31" s="100"/>
      <c r="E31" s="15"/>
      <c r="F31" s="15"/>
    </row>
    <row r="32" spans="1:9" ht="19.5" customHeight="1">
      <c r="A32" s="101" t="s">
        <v>1</v>
      </c>
      <c r="B32" s="102" t="s">
        <v>3</v>
      </c>
      <c r="C32" s="103">
        <v>266821032.72000003</v>
      </c>
      <c r="E32" s="15"/>
      <c r="F32" s="15"/>
    </row>
    <row r="33" spans="1:6" ht="19.5" customHeight="1">
      <c r="A33" s="101" t="s">
        <v>359</v>
      </c>
      <c r="B33" s="102" t="s">
        <v>3</v>
      </c>
      <c r="C33" s="103">
        <v>7928161.5700000003</v>
      </c>
      <c r="E33" s="15"/>
      <c r="F33" s="15"/>
    </row>
    <row r="34" spans="1:6" ht="19.5" customHeight="1">
      <c r="A34" s="88" t="s">
        <v>356</v>
      </c>
      <c r="B34" s="89" t="s">
        <v>3</v>
      </c>
      <c r="C34" s="91">
        <f>((IF('DSP 3418_2023'!K9&lt;0,0,'DSP 3418_2023'!K9)))</f>
        <v>0</v>
      </c>
      <c r="E34" s="15"/>
      <c r="F34" s="15"/>
    </row>
    <row r="35" spans="1:6" ht="19.5" customHeight="1">
      <c r="A35" s="88" t="s">
        <v>2</v>
      </c>
      <c r="B35" s="89" t="s">
        <v>3</v>
      </c>
      <c r="C35" s="91">
        <f>ROUND(C31-C32-C34-C33,2)</f>
        <v>81080000.060000002</v>
      </c>
      <c r="D35" s="100"/>
      <c r="E35" s="15"/>
      <c r="F35" s="1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E819-01DB-454F-A040-DDFB7EE3F6FD}">
  <dimension ref="A1:AD10"/>
  <sheetViews>
    <sheetView showGridLines="0" workbookViewId="0">
      <selection activeCell="J5" sqref="J5"/>
    </sheetView>
  </sheetViews>
  <sheetFormatPr defaultRowHeight="19.5" customHeight="1"/>
  <cols>
    <col min="1" max="1" width="29.58203125" customWidth="1"/>
    <col min="2" max="2" width="21.9140625" customWidth="1"/>
    <col min="3" max="3" width="32.1640625" customWidth="1"/>
    <col min="4" max="4" width="30.1640625" customWidth="1"/>
    <col min="5" max="5" width="19.6640625" customWidth="1"/>
    <col min="6" max="6" width="14.6640625" customWidth="1"/>
    <col min="7" max="8" width="16.6640625" customWidth="1"/>
    <col min="9" max="9" width="19.5" customWidth="1"/>
    <col min="10" max="10" width="24.58203125" customWidth="1"/>
    <col min="11" max="11" width="30.5" bestFit="1" customWidth="1"/>
    <col min="12" max="30" width="16.6640625" customWidth="1"/>
    <col min="31" max="31" width="14.58203125" customWidth="1"/>
  </cols>
  <sheetData>
    <row r="1" spans="1:30" ht="49.5" customHeight="1">
      <c r="C1" s="23" t="s">
        <v>357</v>
      </c>
    </row>
    <row r="2" spans="1:30" ht="21" customHeight="1">
      <c r="A2" s="5"/>
      <c r="C2" s="51" t="s">
        <v>262</v>
      </c>
      <c r="D2" s="20">
        <f>RESUMO!C2</f>
        <v>46143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28" customFormat="1" ht="28">
      <c r="A3" s="55" t="s">
        <v>236</v>
      </c>
      <c r="B3" s="55" t="s">
        <v>284</v>
      </c>
      <c r="C3" s="55" t="s">
        <v>4</v>
      </c>
      <c r="D3" s="55" t="s">
        <v>237</v>
      </c>
      <c r="E3" s="55" t="s">
        <v>264</v>
      </c>
      <c r="F3" s="55" t="s">
        <v>298</v>
      </c>
      <c r="G3" s="55" t="s">
        <v>353</v>
      </c>
      <c r="H3" s="55" t="s">
        <v>354</v>
      </c>
      <c r="I3" s="55" t="s">
        <v>355</v>
      </c>
      <c r="J3" s="88" t="s">
        <v>1</v>
      </c>
      <c r="K3" s="88" t="s">
        <v>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0" ht="19.5" customHeight="1">
      <c r="A4" s="75" t="s">
        <v>5</v>
      </c>
      <c r="B4" s="75" t="s">
        <v>227</v>
      </c>
      <c r="C4" s="56" t="s">
        <v>36</v>
      </c>
      <c r="D4" s="57" t="s">
        <v>37</v>
      </c>
      <c r="E4" s="98">
        <f>VLOOKUP(C4,'CONTRATOS CCVEE'!C:E,3,0)</f>
        <v>96954.732000000004</v>
      </c>
      <c r="F4" s="97">
        <f>VLOOKUP(C4,'CONTRATOS CCVEE'!C:S,17,0)</f>
        <v>42529193.191800997</v>
      </c>
      <c r="G4" s="97">
        <f>RESUMO!$C$11</f>
        <v>342.71</v>
      </c>
      <c r="H4" s="97">
        <v>1</v>
      </c>
      <c r="I4" s="97">
        <f>(F4-(G4*E4))*H4</f>
        <v>9301836.988080997</v>
      </c>
      <c r="J4" s="97">
        <v>21264596.600000001</v>
      </c>
      <c r="K4" s="97">
        <f>I4-J4</f>
        <v>-11962759.611919004</v>
      </c>
    </row>
    <row r="5" spans="1:30" ht="19.5" customHeight="1">
      <c r="A5" s="75" t="s">
        <v>5</v>
      </c>
      <c r="B5" s="75" t="s">
        <v>227</v>
      </c>
      <c r="C5" s="56" t="s">
        <v>38</v>
      </c>
      <c r="D5" s="75" t="s">
        <v>42</v>
      </c>
      <c r="E5" s="98">
        <f>VLOOKUP(C5,'CONTRATOS GAS'!C:F,4,0)</f>
        <v>1079.3057269999999</v>
      </c>
      <c r="F5" s="97">
        <f>VLOOKUP(C5,'CONTRATOS GAS'!C:AP,40,0)</f>
        <v>1673033.7299999997</v>
      </c>
      <c r="G5" s="97">
        <f>RESUMO!$C$11</f>
        <v>342.71</v>
      </c>
      <c r="H5" s="97">
        <v>1</v>
      </c>
      <c r="I5" s="97">
        <f t="shared" ref="I5:I8" si="0">(F5-(G5*E5))*H5</f>
        <v>1303144.8642998298</v>
      </c>
      <c r="J5" s="97">
        <v>1003153.69</v>
      </c>
      <c r="K5" s="97">
        <f t="shared" ref="K5:K8" si="1">I5-J5</f>
        <v>299991.17429982987</v>
      </c>
    </row>
    <row r="6" spans="1:30" ht="19.5" customHeight="1">
      <c r="A6" s="75" t="s">
        <v>5</v>
      </c>
      <c r="B6" s="75" t="s">
        <v>227</v>
      </c>
      <c r="C6" s="56" t="s">
        <v>39</v>
      </c>
      <c r="D6" s="96" t="s">
        <v>43</v>
      </c>
      <c r="E6" s="98">
        <f>VLOOKUP(C6,'CONTRATOS GAS'!C:F,4,0)</f>
        <v>1995.6020390000001</v>
      </c>
      <c r="F6" s="97">
        <f>VLOOKUP(C6,'CONTRATOS GAS'!C:AP,40,0)</f>
        <v>2889588.89</v>
      </c>
      <c r="G6" s="97">
        <f>RESUMO!$C$11</f>
        <v>342.71</v>
      </c>
      <c r="H6" s="97">
        <v>1</v>
      </c>
      <c r="I6" s="97">
        <f t="shared" si="0"/>
        <v>2205676.1152143101</v>
      </c>
      <c r="J6" s="97">
        <v>1651001.28</v>
      </c>
      <c r="K6" s="97">
        <f t="shared" si="1"/>
        <v>554674.83521431009</v>
      </c>
    </row>
    <row r="7" spans="1:30" ht="19.5" customHeight="1">
      <c r="A7" s="75" t="s">
        <v>5</v>
      </c>
      <c r="B7" s="75" t="s">
        <v>227</v>
      </c>
      <c r="C7" s="56" t="s">
        <v>40</v>
      </c>
      <c r="D7" s="75" t="s">
        <v>25</v>
      </c>
      <c r="E7" s="98">
        <f>VLOOKUP(C7,'CONTRATOS GAS'!C:F,4,0)</f>
        <v>974.85777899999994</v>
      </c>
      <c r="F7" s="97">
        <f>VLOOKUP(C7,'CONTRATOS GAS'!C:AP,40,0)</f>
        <v>1386689.6099999999</v>
      </c>
      <c r="G7" s="97">
        <f>RESUMO!$C$11</f>
        <v>342.71</v>
      </c>
      <c r="H7" s="97">
        <v>1</v>
      </c>
      <c r="I7" s="97">
        <f t="shared" si="0"/>
        <v>1052596.1005589101</v>
      </c>
      <c r="J7" s="97">
        <v>781636.28</v>
      </c>
      <c r="K7" s="97">
        <f t="shared" si="1"/>
        <v>270959.82055891003</v>
      </c>
    </row>
    <row r="8" spans="1:30" ht="19.5" customHeight="1">
      <c r="A8" s="75" t="s">
        <v>5</v>
      </c>
      <c r="B8" s="75" t="s">
        <v>227</v>
      </c>
      <c r="C8" s="56" t="s">
        <v>41</v>
      </c>
      <c r="D8" s="75" t="s">
        <v>44</v>
      </c>
      <c r="E8" s="98">
        <f>VLOOKUP(C8,'CONTRATOS GAS'!C:F,4,0)</f>
        <v>2877.8020590000001</v>
      </c>
      <c r="F8" s="97">
        <f>VLOOKUP(C8,'CONTRATOS GAS'!C:AP,40,0)</f>
        <v>4226394.63</v>
      </c>
      <c r="G8" s="97">
        <f>RESUMO!$C$11</f>
        <v>342.71</v>
      </c>
      <c r="H8" s="97">
        <v>1</v>
      </c>
      <c r="I8" s="97">
        <f t="shared" si="0"/>
        <v>3240143.08636011</v>
      </c>
      <c r="J8" s="97">
        <v>2440258.9900000002</v>
      </c>
      <c r="K8" s="97">
        <f t="shared" si="1"/>
        <v>799884.09636010975</v>
      </c>
    </row>
    <row r="9" spans="1:30" ht="19.5" customHeight="1">
      <c r="I9" s="99">
        <f>SUM(I4:I8)</f>
        <v>17103397.154514156</v>
      </c>
      <c r="J9" s="99">
        <f>SUM(J4:J8)</f>
        <v>27140646.840000004</v>
      </c>
      <c r="K9" s="99">
        <f>SUM(K4:K8)</f>
        <v>-10037249.685485845</v>
      </c>
    </row>
    <row r="10" spans="1:30" ht="19.5" customHeight="1">
      <c r="J10" s="1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2"/>
  <sheetViews>
    <sheetView showGridLines="0" zoomScale="85" zoomScaleNormal="85" workbookViewId="0">
      <selection activeCell="A3" sqref="A3"/>
    </sheetView>
  </sheetViews>
  <sheetFormatPr defaultRowHeight="19.5" customHeight="1"/>
  <cols>
    <col min="1" max="1" width="29.58203125" customWidth="1"/>
    <col min="2" max="2" width="21.9140625" customWidth="1"/>
    <col min="3" max="3" width="32.1640625" customWidth="1"/>
    <col min="4" max="4" width="30.1640625" customWidth="1"/>
    <col min="5" max="5" width="19.6640625" customWidth="1"/>
    <col min="6" max="6" width="14.6640625" customWidth="1"/>
    <col min="7" max="31" width="16.6640625" customWidth="1"/>
    <col min="32" max="32" width="14.58203125" customWidth="1"/>
  </cols>
  <sheetData>
    <row r="1" spans="1:32" ht="49.5" customHeight="1">
      <c r="C1" s="23" t="str">
        <f>RESUMO!C1</f>
        <v>reembolso mensal CCC - AMAZONAS</v>
      </c>
    </row>
    <row r="2" spans="1:32" ht="21" customHeight="1">
      <c r="A2" s="5"/>
      <c r="C2" s="51" t="s">
        <v>262</v>
      </c>
      <c r="D2" s="20">
        <f>RESUMO!C2</f>
        <v>46143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2" s="28" customFormat="1" ht="51.65" customHeight="1">
      <c r="A3" s="55" t="s">
        <v>236</v>
      </c>
      <c r="B3" s="55" t="s">
        <v>4</v>
      </c>
      <c r="C3" s="55" t="s">
        <v>237</v>
      </c>
      <c r="D3" s="55" t="s">
        <v>238</v>
      </c>
      <c r="E3" s="55" t="s">
        <v>239</v>
      </c>
      <c r="F3" s="55" t="s">
        <v>240</v>
      </c>
      <c r="G3" s="79" t="s">
        <v>241</v>
      </c>
      <c r="H3" s="79" t="s">
        <v>242</v>
      </c>
      <c r="I3" s="74" t="s">
        <v>243</v>
      </c>
      <c r="J3" s="74" t="s">
        <v>51</v>
      </c>
      <c r="K3" s="74" t="s">
        <v>52</v>
      </c>
      <c r="L3" s="74" t="s">
        <v>244</v>
      </c>
      <c r="M3" s="74" t="s">
        <v>245</v>
      </c>
      <c r="N3" s="74" t="s">
        <v>246</v>
      </c>
      <c r="O3" s="74" t="s">
        <v>247</v>
      </c>
      <c r="P3" s="74" t="s">
        <v>53</v>
      </c>
      <c r="Q3" s="74" t="s">
        <v>248</v>
      </c>
      <c r="R3" s="74" t="s">
        <v>54</v>
      </c>
      <c r="S3" s="74" t="s">
        <v>249</v>
      </c>
      <c r="T3" s="74" t="s">
        <v>250</v>
      </c>
      <c r="U3" s="74" t="s">
        <v>251</v>
      </c>
      <c r="V3" s="74" t="s">
        <v>252</v>
      </c>
      <c r="W3" s="74" t="s">
        <v>253</v>
      </c>
      <c r="X3" s="85" t="s">
        <v>254</v>
      </c>
      <c r="Y3" s="85" t="s">
        <v>255</v>
      </c>
      <c r="Z3" s="74" t="s">
        <v>256</v>
      </c>
      <c r="AA3" s="74" t="s">
        <v>257</v>
      </c>
      <c r="AB3" s="74" t="s">
        <v>258</v>
      </c>
      <c r="AC3" s="74" t="s">
        <v>358</v>
      </c>
      <c r="AD3" s="74" t="s">
        <v>259</v>
      </c>
      <c r="AE3" s="74" t="s">
        <v>260</v>
      </c>
    </row>
    <row r="4" spans="1:32" ht="19.5" customHeight="1">
      <c r="A4" s="56" t="s">
        <v>5</v>
      </c>
      <c r="B4" s="56" t="s">
        <v>6</v>
      </c>
      <c r="C4" s="56" t="s">
        <v>7</v>
      </c>
      <c r="D4" s="56" t="s">
        <v>16</v>
      </c>
      <c r="E4" s="56" t="s">
        <v>5</v>
      </c>
      <c r="F4" s="86" t="s">
        <v>27</v>
      </c>
      <c r="G4" s="76">
        <v>0</v>
      </c>
      <c r="H4" s="76">
        <v>0</v>
      </c>
      <c r="I4" s="60">
        <v>6.7960000000000003</v>
      </c>
      <c r="J4" s="60">
        <f t="shared" ref="J4:J8" si="0">I4*0.0925</f>
        <v>0.62863000000000002</v>
      </c>
      <c r="K4" s="60">
        <v>1.17</v>
      </c>
      <c r="L4" s="60">
        <f t="shared" ref="L4:L8" si="1">I4-J4-K4</f>
        <v>4.9973700000000001</v>
      </c>
      <c r="M4" s="76">
        <v>0</v>
      </c>
      <c r="N4" s="60">
        <v>0</v>
      </c>
      <c r="O4" s="60">
        <f t="shared" ref="O4:O8" si="2">N4-P4</f>
        <v>0</v>
      </c>
      <c r="P4" s="60">
        <f t="shared" ref="P4:P8" si="3">N4*0.0925</f>
        <v>0</v>
      </c>
      <c r="Q4" s="60">
        <f t="shared" ref="Q4:Q8" si="4">P4*G4</f>
        <v>0</v>
      </c>
      <c r="R4" s="60">
        <v>0</v>
      </c>
      <c r="S4" s="60">
        <f t="shared" ref="S4:S8" si="5">R4*G4</f>
        <v>0</v>
      </c>
      <c r="T4" s="87" t="s">
        <v>366</v>
      </c>
      <c r="U4" s="60">
        <f>IF(T4="S",O4,SMALL((L4,O4),1))</f>
        <v>0</v>
      </c>
      <c r="V4" s="60">
        <f>IF(T4="S",R4,SMALL((K4,R4),1))</f>
        <v>0</v>
      </c>
      <c r="W4" s="60">
        <f>IF(T4="S",P4,SMALL((J4,P4),1))</f>
        <v>0</v>
      </c>
      <c r="X4" s="70">
        <v>1</v>
      </c>
      <c r="Y4" s="70">
        <v>1</v>
      </c>
      <c r="Z4" s="60">
        <f t="shared" ref="Z4:Z6" si="6">U4*G4</f>
        <v>0</v>
      </c>
      <c r="AA4" s="60">
        <f t="shared" ref="AA4:AA6" si="7">((G4*V4)*X4)+((G4*W4)*Y4)</f>
        <v>0</v>
      </c>
      <c r="AB4" s="60">
        <f t="shared" ref="AB4:AB8" si="8">SUM(Z4:AA4)</f>
        <v>0</v>
      </c>
      <c r="AC4" s="60">
        <f t="shared" ref="AC4:AC8" si="9">U4*H4</f>
        <v>0</v>
      </c>
      <c r="AD4" s="60">
        <f t="shared" ref="AD4:AD8" si="10">((H4*V4)*X4)+((H4*W4)*Y4)</f>
        <v>0</v>
      </c>
      <c r="AE4" s="60">
        <f t="shared" ref="AE4:AE8" si="11">SUM(AC4:AD4)</f>
        <v>0</v>
      </c>
      <c r="AF4" s="21"/>
    </row>
    <row r="5" spans="1:32" ht="19.5" customHeight="1">
      <c r="A5" s="56" t="s">
        <v>5</v>
      </c>
      <c r="B5" s="56" t="s">
        <v>8</v>
      </c>
      <c r="C5" s="56" t="s">
        <v>9</v>
      </c>
      <c r="D5" s="56" t="s">
        <v>10</v>
      </c>
      <c r="E5" s="56" t="s">
        <v>5</v>
      </c>
      <c r="F5" s="86" t="s">
        <v>27</v>
      </c>
      <c r="G5" s="76">
        <v>0</v>
      </c>
      <c r="H5" s="76">
        <v>0</v>
      </c>
      <c r="I5" s="60">
        <v>6.7960000000000003</v>
      </c>
      <c r="J5" s="60">
        <f t="shared" si="0"/>
        <v>0.62863000000000002</v>
      </c>
      <c r="K5" s="60">
        <v>1.17</v>
      </c>
      <c r="L5" s="60">
        <f t="shared" si="1"/>
        <v>4.9973700000000001</v>
      </c>
      <c r="M5" s="76">
        <v>0</v>
      </c>
      <c r="N5" s="60">
        <v>0</v>
      </c>
      <c r="O5" s="60">
        <f t="shared" si="2"/>
        <v>0</v>
      </c>
      <c r="P5" s="60">
        <f t="shared" si="3"/>
        <v>0</v>
      </c>
      <c r="Q5" s="60">
        <f t="shared" si="4"/>
        <v>0</v>
      </c>
      <c r="R5" s="60">
        <v>0</v>
      </c>
      <c r="S5" s="60">
        <f t="shared" si="5"/>
        <v>0</v>
      </c>
      <c r="T5" s="87" t="s">
        <v>366</v>
      </c>
      <c r="U5" s="60">
        <f>IF(T5="S",O5,SMALL((L5,O5),1))</f>
        <v>0</v>
      </c>
      <c r="V5" s="60">
        <f>IF(T5="S",R5,SMALL((K5,R5),1))</f>
        <v>0</v>
      </c>
      <c r="W5" s="60">
        <f>IF(T5="S",P5,SMALL((J5,P5),1))</f>
        <v>0</v>
      </c>
      <c r="X5" s="70">
        <v>1</v>
      </c>
      <c r="Y5" s="70">
        <v>1</v>
      </c>
      <c r="Z5" s="60">
        <f t="shared" si="6"/>
        <v>0</v>
      </c>
      <c r="AA5" s="60">
        <f t="shared" si="7"/>
        <v>0</v>
      </c>
      <c r="AB5" s="60">
        <f t="shared" si="8"/>
        <v>0</v>
      </c>
      <c r="AC5" s="60">
        <f t="shared" si="9"/>
        <v>0</v>
      </c>
      <c r="AD5" s="60">
        <f t="shared" si="10"/>
        <v>0</v>
      </c>
      <c r="AE5" s="60">
        <f t="shared" si="11"/>
        <v>0</v>
      </c>
      <c r="AF5" s="21"/>
    </row>
    <row r="6" spans="1:32" ht="19.5" customHeight="1">
      <c r="A6" s="56" t="s">
        <v>5</v>
      </c>
      <c r="B6" s="56" t="s">
        <v>11</v>
      </c>
      <c r="C6" s="56" t="s">
        <v>12</v>
      </c>
      <c r="D6" s="56" t="s">
        <v>26</v>
      </c>
      <c r="E6" s="56" t="s">
        <v>5</v>
      </c>
      <c r="F6" s="86" t="s">
        <v>27</v>
      </c>
      <c r="G6" s="76">
        <v>45429.002</v>
      </c>
      <c r="H6" s="76">
        <v>14227.997719000001</v>
      </c>
      <c r="I6" s="60">
        <v>6.7960000000000003</v>
      </c>
      <c r="J6" s="60">
        <f t="shared" si="0"/>
        <v>0.62863000000000002</v>
      </c>
      <c r="K6" s="60">
        <v>1.17</v>
      </c>
      <c r="L6" s="60">
        <f t="shared" si="1"/>
        <v>4.9973700000000001</v>
      </c>
      <c r="M6" s="76">
        <v>47734</v>
      </c>
      <c r="N6" s="60">
        <v>6.0029999581010003</v>
      </c>
      <c r="O6" s="60">
        <f t="shared" ref="O6" si="12">N6-P6</f>
        <v>5.4477224619766575</v>
      </c>
      <c r="P6" s="60">
        <f t="shared" ref="P6" si="13">N6*0.0925</f>
        <v>0.55527749612434252</v>
      </c>
      <c r="Q6" s="60">
        <f t="shared" ref="Q6" si="14">P6*G6</f>
        <v>25225.702481987748</v>
      </c>
      <c r="R6" s="60">
        <v>1.17</v>
      </c>
      <c r="S6" s="60">
        <f t="shared" ref="S6" si="15">R6*G6</f>
        <v>53151.932339999999</v>
      </c>
      <c r="T6" s="87" t="s">
        <v>366</v>
      </c>
      <c r="U6" s="60">
        <f>IF(T6="S",O6,SMALL((L6,O6),1))</f>
        <v>5.4477224619766575</v>
      </c>
      <c r="V6" s="60">
        <f>IF(T6="S",R6,SMALL((K6,R6),1))</f>
        <v>1.17</v>
      </c>
      <c r="W6" s="60">
        <f>IF(T6="S",P6,SMALL((J6,P6),1))</f>
        <v>0.55527749612434252</v>
      </c>
      <c r="X6" s="70">
        <v>1</v>
      </c>
      <c r="Y6" s="70">
        <v>1</v>
      </c>
      <c r="Z6" s="60">
        <f t="shared" si="6"/>
        <v>247484.5946205825</v>
      </c>
      <c r="AA6" s="60">
        <f t="shared" si="7"/>
        <v>78377.63482198774</v>
      </c>
      <c r="AB6" s="60">
        <f t="shared" si="8"/>
        <v>325862.22944257024</v>
      </c>
      <c r="AC6" s="60">
        <f t="shared" si="9"/>
        <v>77510.182762748955</v>
      </c>
      <c r="AD6" s="60">
        <f t="shared" si="10"/>
        <v>24547.24427949918</v>
      </c>
      <c r="AE6" s="60">
        <f t="shared" si="11"/>
        <v>102057.42704224813</v>
      </c>
      <c r="AF6" s="21"/>
    </row>
    <row r="7" spans="1:32" ht="19.5" customHeight="1">
      <c r="A7" s="56" t="s">
        <v>5</v>
      </c>
      <c r="B7" s="56" t="s">
        <v>17</v>
      </c>
      <c r="C7" s="56" t="s">
        <v>18</v>
      </c>
      <c r="D7" s="56" t="s">
        <v>18</v>
      </c>
      <c r="E7" s="56" t="s">
        <v>5</v>
      </c>
      <c r="F7" s="86" t="s">
        <v>27</v>
      </c>
      <c r="G7" s="76">
        <v>0</v>
      </c>
      <c r="H7" s="76">
        <v>0</v>
      </c>
      <c r="I7" s="60">
        <v>6.7960000000000003</v>
      </c>
      <c r="J7" s="60">
        <f t="shared" si="0"/>
        <v>0.62863000000000002</v>
      </c>
      <c r="K7" s="60">
        <v>1.17</v>
      </c>
      <c r="L7" s="60">
        <f t="shared" si="1"/>
        <v>4.9973700000000001</v>
      </c>
      <c r="M7" s="76">
        <v>0</v>
      </c>
      <c r="N7" s="60">
        <v>0</v>
      </c>
      <c r="O7" s="60">
        <f>ROUND(N7-P7,6)</f>
        <v>0</v>
      </c>
      <c r="P7" s="60">
        <f>ROUND(N7*0.0925,6)</f>
        <v>0</v>
      </c>
      <c r="Q7" s="60">
        <f t="shared" si="4"/>
        <v>0</v>
      </c>
      <c r="R7" s="60">
        <v>0</v>
      </c>
      <c r="S7" s="60">
        <f t="shared" si="5"/>
        <v>0</v>
      </c>
      <c r="T7" s="87" t="s">
        <v>366</v>
      </c>
      <c r="U7" s="60">
        <f>IF(T7="S",O7,SMALL((L7,O7),1))</f>
        <v>0</v>
      </c>
      <c r="V7" s="60">
        <f>IF(T7="S",R7,SMALL((K7,R7),1))</f>
        <v>0</v>
      </c>
      <c r="W7" s="60">
        <f>IF(T7="S",P7,SMALL((J7,P7),1))</f>
        <v>0</v>
      </c>
      <c r="X7" s="70">
        <v>1</v>
      </c>
      <c r="Y7" s="70">
        <v>1</v>
      </c>
      <c r="Z7" s="60">
        <f>ROUND(U7*G7,6)</f>
        <v>0</v>
      </c>
      <c r="AA7" s="60">
        <f>ROUND(((G7*V7)*X7),6)+ROUND(((G7*W7)*Y7),6)</f>
        <v>0</v>
      </c>
      <c r="AB7" s="60">
        <f t="shared" si="8"/>
        <v>0</v>
      </c>
      <c r="AC7" s="60">
        <f>ROUND(U7*H7,6)</f>
        <v>0</v>
      </c>
      <c r="AD7" s="60">
        <f>ROUND(((H7*V7)*X7),6)+ROUND(((H7*W7)*Y7),6)</f>
        <v>0</v>
      </c>
      <c r="AE7" s="60">
        <f t="shared" si="11"/>
        <v>0</v>
      </c>
      <c r="AF7" s="21"/>
    </row>
    <row r="8" spans="1:32" ht="19.5" customHeight="1">
      <c r="A8" s="56" t="s">
        <v>5</v>
      </c>
      <c r="B8" s="56" t="s">
        <v>229</v>
      </c>
      <c r="C8" s="56" t="s">
        <v>230</v>
      </c>
      <c r="D8" s="56" t="s">
        <v>19</v>
      </c>
      <c r="E8" s="56" t="s">
        <v>5</v>
      </c>
      <c r="F8" s="86" t="s">
        <v>27</v>
      </c>
      <c r="G8" s="76">
        <v>0</v>
      </c>
      <c r="H8" s="76">
        <v>0</v>
      </c>
      <c r="I8" s="60">
        <v>6.7960000000000003</v>
      </c>
      <c r="J8" s="60">
        <f t="shared" si="0"/>
        <v>0.62863000000000002</v>
      </c>
      <c r="K8" s="60">
        <v>1.17</v>
      </c>
      <c r="L8" s="60">
        <f t="shared" si="1"/>
        <v>4.9973700000000001</v>
      </c>
      <c r="M8" s="76">
        <v>0</v>
      </c>
      <c r="N8" s="60">
        <v>0</v>
      </c>
      <c r="O8" s="60">
        <f t="shared" si="2"/>
        <v>0</v>
      </c>
      <c r="P8" s="60">
        <f t="shared" si="3"/>
        <v>0</v>
      </c>
      <c r="Q8" s="60">
        <f t="shared" si="4"/>
        <v>0</v>
      </c>
      <c r="R8" s="60">
        <v>0</v>
      </c>
      <c r="S8" s="60">
        <f t="shared" si="5"/>
        <v>0</v>
      </c>
      <c r="T8" s="87" t="s">
        <v>366</v>
      </c>
      <c r="U8" s="60">
        <f>IF(T8="S",O8,SMALL((L8,O8),1))</f>
        <v>0</v>
      </c>
      <c r="V8" s="60">
        <f>IF(T8="S",R8,SMALL((K8,R8),1))</f>
        <v>0</v>
      </c>
      <c r="W8" s="60">
        <f>IF(T8="S",P8,SMALL((J8,P8),1))</f>
        <v>0</v>
      </c>
      <c r="X8" s="70">
        <v>1</v>
      </c>
      <c r="Y8" s="70">
        <v>1</v>
      </c>
      <c r="Z8" s="60">
        <f t="shared" ref="Z8" si="16">U8*G8</f>
        <v>0</v>
      </c>
      <c r="AA8" s="60">
        <f t="shared" ref="AA8" si="17">((G8*V8)*X8)+((G8*W8)*Y8)</f>
        <v>0</v>
      </c>
      <c r="AB8" s="60">
        <f t="shared" si="8"/>
        <v>0</v>
      </c>
      <c r="AC8" s="60">
        <f t="shared" si="9"/>
        <v>0</v>
      </c>
      <c r="AD8" s="60">
        <f t="shared" si="10"/>
        <v>0</v>
      </c>
      <c r="AE8" s="60">
        <f t="shared" si="11"/>
        <v>0</v>
      </c>
      <c r="AF8" s="21"/>
    </row>
    <row r="9" spans="1:32" ht="19.5" customHeight="1">
      <c r="A9" s="56" t="s">
        <v>5</v>
      </c>
      <c r="B9" s="56" t="s">
        <v>21</v>
      </c>
      <c r="C9" s="56" t="s">
        <v>22</v>
      </c>
      <c r="D9" s="56" t="s">
        <v>22</v>
      </c>
      <c r="E9" s="56" t="s">
        <v>5</v>
      </c>
      <c r="F9" s="86" t="s">
        <v>27</v>
      </c>
      <c r="G9" s="76">
        <v>1572877.906</v>
      </c>
      <c r="H9" s="76">
        <v>52894.209209000001</v>
      </c>
      <c r="I9" s="60">
        <v>6.7960000000000003</v>
      </c>
      <c r="J9" s="60">
        <f t="shared" ref="J9:J10" si="18">I9*0.0925</f>
        <v>0.62863000000000002</v>
      </c>
      <c r="K9" s="60">
        <v>1.17</v>
      </c>
      <c r="L9" s="60">
        <f t="shared" ref="L9:L10" si="19">I9-J9-K9</f>
        <v>4.9973700000000001</v>
      </c>
      <c r="M9" s="76">
        <v>1633000</v>
      </c>
      <c r="N9" s="60">
        <v>5.9703039191669998</v>
      </c>
      <c r="O9" s="60">
        <f>ROUND(N9-P9,6)</f>
        <v>5.4180510000000002</v>
      </c>
      <c r="P9" s="60">
        <f>ROUND(N9*0.0925,6)</f>
        <v>0.55225299999999999</v>
      </c>
      <c r="Q9" s="60">
        <f t="shared" ref="Q9:Q10" si="20">P9*G9</f>
        <v>868626.54222221801</v>
      </c>
      <c r="R9" s="60">
        <v>1.17</v>
      </c>
      <c r="S9" s="60">
        <f t="shared" ref="S9:S10" si="21">R9*G9</f>
        <v>1840267.1500199998</v>
      </c>
      <c r="T9" s="87" t="s">
        <v>366</v>
      </c>
      <c r="U9" s="60">
        <f>IF(T9="S",O9,SMALL((L9,O9),1))</f>
        <v>5.4180510000000002</v>
      </c>
      <c r="V9" s="60">
        <f>IF(T9="S",R9,SMALL((K9,R9),1))</f>
        <v>1.17</v>
      </c>
      <c r="W9" s="60">
        <f>IF(T9="S",P9,SMALL((J9,P9),1))</f>
        <v>0.55225299999999999</v>
      </c>
      <c r="X9" s="70">
        <v>1</v>
      </c>
      <c r="Y9" s="70">
        <v>1</v>
      </c>
      <c r="Z9" s="60">
        <f>ROUND(U9*G9,6)</f>
        <v>8521932.7114809994</v>
      </c>
      <c r="AA9" s="60">
        <f>ROUND(((G9*V9)*X9),6)+ROUND(((G9*W9)*Y9),6)</f>
        <v>2708893.6922420003</v>
      </c>
      <c r="AB9" s="60">
        <f t="shared" ref="AB9:AB10" si="22">SUM(Z9:AA9)</f>
        <v>11230826.403723</v>
      </c>
      <c r="AC9" s="60">
        <f>ROUND(U9*H9,6)</f>
        <v>286583.52309899998</v>
      </c>
      <c r="AD9" s="60">
        <f>ROUND(((H9*V9)*X9),6)+ROUND(((H9*W9)*Y9),6)</f>
        <v>91097.210493000006</v>
      </c>
      <c r="AE9" s="60">
        <f t="shared" ref="AE9:AE10" si="23">SUM(AC9:AD9)</f>
        <v>377680.73359199998</v>
      </c>
      <c r="AF9" s="21"/>
    </row>
    <row r="10" spans="1:32" ht="19.5" customHeight="1">
      <c r="A10" s="56" t="s">
        <v>5</v>
      </c>
      <c r="B10" s="56" t="s">
        <v>23</v>
      </c>
      <c r="C10" s="56" t="s">
        <v>24</v>
      </c>
      <c r="D10" s="56" t="s">
        <v>24</v>
      </c>
      <c r="E10" s="56" t="s">
        <v>5</v>
      </c>
      <c r="F10" s="86" t="s">
        <v>27</v>
      </c>
      <c r="G10" s="76">
        <v>0</v>
      </c>
      <c r="H10" s="76">
        <v>0</v>
      </c>
      <c r="I10" s="60">
        <v>6.7960000000000003</v>
      </c>
      <c r="J10" s="60">
        <f t="shared" si="18"/>
        <v>0.62863000000000002</v>
      </c>
      <c r="K10" s="60">
        <v>1.17</v>
      </c>
      <c r="L10" s="60">
        <f t="shared" si="19"/>
        <v>4.9973700000000001</v>
      </c>
      <c r="M10" s="76">
        <v>0</v>
      </c>
      <c r="N10" s="60">
        <v>0</v>
      </c>
      <c r="O10" s="60">
        <f>ROUND(N10-P10,6)</f>
        <v>0</v>
      </c>
      <c r="P10" s="60">
        <f>ROUND(N10*0.0925,6)</f>
        <v>0</v>
      </c>
      <c r="Q10" s="60">
        <f t="shared" si="20"/>
        <v>0</v>
      </c>
      <c r="R10" s="60">
        <v>0</v>
      </c>
      <c r="S10" s="60">
        <f t="shared" si="21"/>
        <v>0</v>
      </c>
      <c r="T10" s="87" t="s">
        <v>366</v>
      </c>
      <c r="U10" s="60">
        <f>IF(T10="S",O10,SMALL((L10,O10),1))</f>
        <v>0</v>
      </c>
      <c r="V10" s="60">
        <f>IF(T10="S",R10,SMALL((K10,R10),1))</f>
        <v>0</v>
      </c>
      <c r="W10" s="60">
        <f>IF(T10="S",P10,SMALL((J10,P10),1))</f>
        <v>0</v>
      </c>
      <c r="X10" s="70">
        <v>1</v>
      </c>
      <c r="Y10" s="70">
        <v>1</v>
      </c>
      <c r="Z10" s="60">
        <f>ROUND(U10*G10,6)</f>
        <v>0</v>
      </c>
      <c r="AA10" s="60">
        <f>ROUND(((G10*V10)*X10),6)+ROUND(((G10*W10)*Y10),6)</f>
        <v>0</v>
      </c>
      <c r="AB10" s="60">
        <f t="shared" si="22"/>
        <v>0</v>
      </c>
      <c r="AC10" s="60">
        <f>ROUND(U10*H10,6)</f>
        <v>0</v>
      </c>
      <c r="AD10" s="60">
        <f>ROUND(((H10*V10)*X10),6)+ROUND(((H10*W10)*Y10),6)</f>
        <v>0</v>
      </c>
      <c r="AE10" s="60">
        <f t="shared" si="23"/>
        <v>0</v>
      </c>
      <c r="AF10" s="21"/>
    </row>
    <row r="11" spans="1:32" ht="19.5" customHeight="1">
      <c r="A11" s="56"/>
      <c r="B11" s="56"/>
      <c r="C11" s="56"/>
      <c r="D11" s="56"/>
      <c r="E11" s="56"/>
      <c r="F11" s="86"/>
      <c r="G11" s="76"/>
      <c r="H11" s="76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87"/>
      <c r="U11" s="60"/>
      <c r="V11" s="60"/>
      <c r="W11" s="60"/>
      <c r="X11" s="70"/>
      <c r="Y11" s="70"/>
      <c r="Z11" s="60"/>
      <c r="AA11" s="60"/>
      <c r="AB11" s="60"/>
      <c r="AC11" s="60"/>
      <c r="AD11" s="60"/>
      <c r="AE11" s="60"/>
    </row>
    <row r="12" spans="1:32" s="45" customFormat="1" ht="19.5" customHeight="1">
      <c r="G12" s="39">
        <f>SUM(G4:G11)</f>
        <v>1618306.9080000001</v>
      </c>
      <c r="H12" s="39">
        <f>SUM(H4:H11)</f>
        <v>67122.206928</v>
      </c>
      <c r="M12" s="39">
        <f>SUM(M4:M11)</f>
        <v>1680734</v>
      </c>
      <c r="Q12" s="40">
        <f>SUM(Q4:Q11)</f>
        <v>893852.24470420578</v>
      </c>
      <c r="S12" s="40">
        <f>SUM(S4:S11)</f>
        <v>1893419.0823599999</v>
      </c>
      <c r="Z12" s="49">
        <f t="shared" ref="Z12:AE12" si="24">SUM(Z4:Z11)</f>
        <v>8769417.3061015811</v>
      </c>
      <c r="AA12" s="49">
        <f t="shared" si="24"/>
        <v>2787271.327063988</v>
      </c>
      <c r="AB12" s="49">
        <f t="shared" si="24"/>
        <v>11556688.63316557</v>
      </c>
      <c r="AC12" s="49">
        <f t="shared" si="24"/>
        <v>364093.70586174895</v>
      </c>
      <c r="AD12" s="49">
        <f t="shared" si="24"/>
        <v>115644.45477249919</v>
      </c>
      <c r="AE12" s="49">
        <f t="shared" si="24"/>
        <v>479738.16063424811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3"/>
  <sheetViews>
    <sheetView showGridLines="0" workbookViewId="0">
      <selection activeCell="B4" sqref="B4"/>
    </sheetView>
  </sheetViews>
  <sheetFormatPr defaultRowHeight="19.5" customHeight="1"/>
  <cols>
    <col min="1" max="1" width="24.6640625" customWidth="1"/>
    <col min="2" max="2" width="30.6640625" customWidth="1"/>
    <col min="3" max="3" width="22.4140625" customWidth="1"/>
    <col min="4" max="4" width="23.1640625" customWidth="1"/>
    <col min="5" max="19" width="16.6640625" customWidth="1"/>
  </cols>
  <sheetData>
    <row r="1" spans="1:29" ht="49.5" customHeight="1">
      <c r="D1" s="23" t="str">
        <f>RESUMO!C1</f>
        <v>reembolso mensal CCC - AMAZONAS</v>
      </c>
    </row>
    <row r="2" spans="1:29" ht="30" customHeight="1">
      <c r="A2" s="12"/>
      <c r="B2" s="12"/>
      <c r="C2" s="12"/>
      <c r="D2" s="24" t="s">
        <v>262</v>
      </c>
      <c r="E2" s="20">
        <f>RESUMO!C2</f>
        <v>46143</v>
      </c>
      <c r="F2" s="1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9" s="28" customFormat="1" ht="60" customHeight="1">
      <c r="A3" s="55" t="s">
        <v>236</v>
      </c>
      <c r="B3" s="55" t="s">
        <v>284</v>
      </c>
      <c r="C3" s="55" t="s">
        <v>4</v>
      </c>
      <c r="D3" s="55" t="s">
        <v>237</v>
      </c>
      <c r="E3" s="55" t="s">
        <v>264</v>
      </c>
      <c r="F3" s="55" t="s">
        <v>285</v>
      </c>
      <c r="G3" s="79" t="s">
        <v>286</v>
      </c>
      <c r="H3" s="55" t="s">
        <v>287</v>
      </c>
      <c r="I3" s="55" t="s">
        <v>288</v>
      </c>
      <c r="J3" s="63" t="s">
        <v>289</v>
      </c>
      <c r="K3" s="55" t="s">
        <v>290</v>
      </c>
      <c r="L3" s="55" t="s">
        <v>291</v>
      </c>
      <c r="M3" s="55" t="s">
        <v>292</v>
      </c>
      <c r="N3" s="55" t="s">
        <v>293</v>
      </c>
      <c r="O3" s="80" t="s">
        <v>294</v>
      </c>
      <c r="P3" s="80" t="s">
        <v>295</v>
      </c>
      <c r="Q3" s="55" t="s">
        <v>296</v>
      </c>
      <c r="R3" s="55" t="s">
        <v>297</v>
      </c>
      <c r="S3" s="55" t="s">
        <v>298</v>
      </c>
    </row>
    <row r="4" spans="1:29" ht="19.5" customHeight="1">
      <c r="A4" s="56" t="s">
        <v>5</v>
      </c>
      <c r="B4" s="75" t="s">
        <v>227</v>
      </c>
      <c r="C4" s="56" t="s">
        <v>36</v>
      </c>
      <c r="D4" s="57" t="s">
        <v>37</v>
      </c>
      <c r="E4" s="81">
        <v>96954.732000000004</v>
      </c>
      <c r="F4" s="81">
        <v>96954.732000000004</v>
      </c>
      <c r="G4" s="82">
        <v>250</v>
      </c>
      <c r="H4" s="60">
        <v>438.65</v>
      </c>
      <c r="I4" s="60">
        <f>H4*E4</f>
        <v>42529193.191799998</v>
      </c>
      <c r="J4" s="60">
        <v>42529193.191799998</v>
      </c>
      <c r="K4" s="60">
        <f>MIN(I4:J4)</f>
        <v>42529193.191799998</v>
      </c>
      <c r="L4" s="60">
        <f>K4/E4</f>
        <v>438.65</v>
      </c>
      <c r="M4" s="60">
        <v>87.73</v>
      </c>
      <c r="N4" s="60">
        <v>40.575125</v>
      </c>
      <c r="O4" s="66">
        <v>1</v>
      </c>
      <c r="P4" s="66">
        <v>1</v>
      </c>
      <c r="Q4" s="60">
        <f>ROUND((L4-M4-N4)*E4,6)</f>
        <v>30089404.183199</v>
      </c>
      <c r="R4" s="60">
        <f>ROUND((M4*O4+N4*P4)*E4,6)</f>
        <v>12439789.008602001</v>
      </c>
      <c r="S4" s="60">
        <f>SUM(Q4:R4)</f>
        <v>42529193.191800997</v>
      </c>
    </row>
    <row r="5" spans="1:29" ht="19.5" customHeight="1">
      <c r="A5" s="56" t="s">
        <v>5</v>
      </c>
      <c r="B5" s="75" t="s">
        <v>45</v>
      </c>
      <c r="C5" s="56" t="s">
        <v>46</v>
      </c>
      <c r="D5" s="75" t="s">
        <v>47</v>
      </c>
      <c r="E5" s="81">
        <v>0</v>
      </c>
      <c r="F5" s="81">
        <v>0</v>
      </c>
      <c r="G5" s="82">
        <v>9</v>
      </c>
      <c r="H5" s="60">
        <v>0</v>
      </c>
      <c r="I5" s="60">
        <f>H5*E5</f>
        <v>0</v>
      </c>
      <c r="J5" s="60">
        <v>0</v>
      </c>
      <c r="K5" s="60">
        <f>MIN(I5:J5)</f>
        <v>0</v>
      </c>
      <c r="L5" s="75">
        <f>IFERROR(K5/E5,0)</f>
        <v>0</v>
      </c>
      <c r="M5" s="60">
        <v>0</v>
      </c>
      <c r="N5" s="60">
        <v>0</v>
      </c>
      <c r="O5" s="66">
        <v>1</v>
      </c>
      <c r="P5" s="66">
        <v>1</v>
      </c>
      <c r="Q5" s="60">
        <f>ROUND((L5-M5-N5)*E5,6)</f>
        <v>0</v>
      </c>
      <c r="R5" s="60">
        <f>ROUND((M5*O5+N5*P5)*E5,6)</f>
        <v>0</v>
      </c>
      <c r="S5" s="60">
        <f>SUM(Q5:R5)</f>
        <v>0</v>
      </c>
    </row>
    <row r="6" spans="1:29" s="45" customFormat="1" ht="19.5" customHeight="1">
      <c r="A6" s="41"/>
      <c r="B6" s="41"/>
      <c r="C6" s="41"/>
      <c r="D6" s="41"/>
      <c r="E6" s="42">
        <f>SUM(E4:E5)</f>
        <v>96954.732000000004</v>
      </c>
      <c r="F6" s="42">
        <f>SUM(F4:F5)</f>
        <v>96954.732000000004</v>
      </c>
      <c r="G6" s="43"/>
      <c r="H6" s="43"/>
      <c r="I6" s="31">
        <f>SUM(I4:I5)</f>
        <v>42529193.191799998</v>
      </c>
      <c r="J6" s="43"/>
      <c r="K6" s="43"/>
      <c r="L6" s="43"/>
      <c r="M6" s="43"/>
      <c r="N6" s="43"/>
      <c r="O6" s="44"/>
      <c r="P6" s="43"/>
      <c r="Q6" s="43"/>
      <c r="R6" s="43"/>
      <c r="S6" s="31">
        <f>SUM(S4:S5)</f>
        <v>42529193.191800997</v>
      </c>
      <c r="T6" s="28"/>
      <c r="U6" s="28"/>
      <c r="V6" s="28"/>
      <c r="W6" s="28"/>
      <c r="X6" s="28"/>
      <c r="Y6" s="28"/>
      <c r="Z6" s="28"/>
      <c r="AA6" s="28"/>
      <c r="AB6" s="28"/>
      <c r="AC6" s="28"/>
    </row>
    <row r="8" spans="1:29" ht="14"/>
    <row r="11" spans="1:29" ht="19.5" customHeight="1">
      <c r="S11" s="15"/>
    </row>
    <row r="13" spans="1:29" ht="19.5" customHeight="1">
      <c r="S13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3"/>
  <sheetViews>
    <sheetView showGridLines="0" topLeftCell="N1" zoomScale="85" zoomScaleNormal="85" workbookViewId="0">
      <selection activeCell="V12" sqref="V12"/>
    </sheetView>
  </sheetViews>
  <sheetFormatPr defaultRowHeight="19.5" customHeight="1"/>
  <cols>
    <col min="1" max="1" width="26.9140625" customWidth="1"/>
    <col min="2" max="2" width="25.6640625" customWidth="1"/>
    <col min="3" max="3" width="31.6640625" customWidth="1"/>
    <col min="4" max="4" width="21" customWidth="1"/>
    <col min="5" max="22" width="16.6640625" customWidth="1"/>
  </cols>
  <sheetData>
    <row r="1" spans="1:33" ht="49.5" customHeight="1">
      <c r="C1" s="23" t="str">
        <f>RESUMO!C1</f>
        <v>reembolso mensal CCC - AMAZONAS</v>
      </c>
    </row>
    <row r="2" spans="1:33" ht="15.5">
      <c r="C2" s="51" t="s">
        <v>262</v>
      </c>
      <c r="D2" s="19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3" ht="14">
      <c r="A3" s="9"/>
      <c r="B3" s="9"/>
      <c r="C3" s="9"/>
      <c r="D3" s="9"/>
      <c r="E3" s="10"/>
      <c r="F3" s="10"/>
      <c r="G3" s="106" t="s">
        <v>267</v>
      </c>
      <c r="H3" s="106"/>
      <c r="I3" s="106" t="s">
        <v>268</v>
      </c>
      <c r="J3" s="106"/>
      <c r="K3" s="52"/>
      <c r="L3" s="53"/>
      <c r="M3" s="106" t="s">
        <v>274</v>
      </c>
      <c r="N3" s="106"/>
      <c r="O3" s="106" t="s">
        <v>279</v>
      </c>
      <c r="P3" s="106"/>
      <c r="Q3" s="106"/>
      <c r="R3" s="106"/>
      <c r="S3" s="11"/>
      <c r="T3" s="11"/>
      <c r="U3" s="11"/>
      <c r="V3" s="11"/>
      <c r="W3" s="5"/>
      <c r="X3" s="5"/>
      <c r="Y3" s="6"/>
      <c r="Z3" s="6"/>
      <c r="AA3" s="6"/>
      <c r="AB3" s="6"/>
      <c r="AC3" s="8"/>
      <c r="AD3" s="8"/>
      <c r="AE3" s="7"/>
      <c r="AF3" s="7"/>
      <c r="AG3" s="7"/>
    </row>
    <row r="4" spans="1:33" s="28" customFormat="1" ht="70">
      <c r="A4" s="55" t="s">
        <v>236</v>
      </c>
      <c r="B4" s="55" t="s">
        <v>4</v>
      </c>
      <c r="C4" s="55" t="s">
        <v>237</v>
      </c>
      <c r="D4" s="55" t="s">
        <v>263</v>
      </c>
      <c r="E4" s="55" t="s">
        <v>264</v>
      </c>
      <c r="F4" s="55" t="s">
        <v>240</v>
      </c>
      <c r="G4" s="55" t="s">
        <v>265</v>
      </c>
      <c r="H4" s="55" t="s">
        <v>266</v>
      </c>
      <c r="I4" s="55" t="s">
        <v>269</v>
      </c>
      <c r="J4" s="55" t="s">
        <v>270</v>
      </c>
      <c r="K4" s="55" t="s">
        <v>35</v>
      </c>
      <c r="L4" s="55" t="s">
        <v>271</v>
      </c>
      <c r="M4" s="55" t="s">
        <v>272</v>
      </c>
      <c r="N4" s="55" t="s">
        <v>273</v>
      </c>
      <c r="O4" s="55" t="s">
        <v>275</v>
      </c>
      <c r="P4" s="55" t="s">
        <v>276</v>
      </c>
      <c r="Q4" s="55" t="s">
        <v>277</v>
      </c>
      <c r="R4" s="55" t="s">
        <v>278</v>
      </c>
      <c r="S4" s="55" t="s">
        <v>281</v>
      </c>
      <c r="T4" s="55" t="s">
        <v>280</v>
      </c>
      <c r="U4" s="55" t="s">
        <v>282</v>
      </c>
      <c r="V4" s="55" t="s">
        <v>283</v>
      </c>
      <c r="W4" s="29"/>
      <c r="X4" s="29"/>
      <c r="Y4" s="25"/>
      <c r="Z4" s="25"/>
      <c r="AA4" s="25"/>
      <c r="AB4" s="25"/>
      <c r="AC4" s="26"/>
      <c r="AD4" s="26"/>
      <c r="AE4" s="27"/>
      <c r="AF4" s="27"/>
      <c r="AG4" s="27"/>
    </row>
    <row r="5" spans="1:33" ht="19.5" customHeight="1">
      <c r="A5" s="56" t="s">
        <v>5</v>
      </c>
      <c r="B5" s="56" t="s">
        <v>6</v>
      </c>
      <c r="C5" s="57" t="s">
        <v>7</v>
      </c>
      <c r="D5" s="77">
        <v>0.25</v>
      </c>
      <c r="E5" s="76">
        <v>0</v>
      </c>
      <c r="F5" s="62" t="s">
        <v>27</v>
      </c>
      <c r="G5" s="70">
        <v>0</v>
      </c>
      <c r="H5" s="70">
        <v>1</v>
      </c>
      <c r="I5" s="83">
        <f t="shared" ref="I5:I9" si="0">E5*G5</f>
        <v>0</v>
      </c>
      <c r="J5" s="83">
        <f t="shared" ref="J5:J9" si="1">E5*H5</f>
        <v>0</v>
      </c>
      <c r="K5" s="62">
        <v>287.03422887320266</v>
      </c>
      <c r="L5" s="62">
        <f t="shared" ref="L5:L9" si="2">E5*K5</f>
        <v>0</v>
      </c>
      <c r="M5" s="62">
        <v>48.276129032258062</v>
      </c>
      <c r="N5" s="62">
        <f t="shared" ref="N5:N9" si="3">I5*M5</f>
        <v>0</v>
      </c>
      <c r="O5" s="62">
        <v>359.38418451658248</v>
      </c>
      <c r="P5" s="62">
        <f t="shared" ref="P5:P9" si="4">J5*O5</f>
        <v>0</v>
      </c>
      <c r="Q5" s="84">
        <v>0</v>
      </c>
      <c r="R5" s="84">
        <f t="shared" ref="R5:R8" si="5">MIN(P5:Q5)</f>
        <v>0</v>
      </c>
      <c r="S5" s="60">
        <f t="shared" ref="S5:S9" si="6">L5+N5+R5</f>
        <v>0</v>
      </c>
      <c r="T5" s="60">
        <f t="shared" ref="T5:T9" si="7">Q5</f>
        <v>0</v>
      </c>
      <c r="U5" s="60">
        <v>0</v>
      </c>
      <c r="V5" s="60">
        <f t="shared" ref="V5:V9" si="8">SUM(S5,U5)</f>
        <v>0</v>
      </c>
      <c r="W5" s="5"/>
      <c r="X5" s="7"/>
      <c r="Y5" s="6"/>
      <c r="Z5" s="6"/>
      <c r="AA5" s="6"/>
      <c r="AB5" s="6"/>
      <c r="AC5" s="8"/>
      <c r="AD5" s="8"/>
      <c r="AE5" s="7"/>
      <c r="AF5" s="7"/>
      <c r="AG5" s="7"/>
    </row>
    <row r="6" spans="1:33" ht="19.5" customHeight="1">
      <c r="A6" s="56" t="s">
        <v>5</v>
      </c>
      <c r="B6" s="56" t="s">
        <v>8</v>
      </c>
      <c r="C6" s="57" t="s">
        <v>9</v>
      </c>
      <c r="D6" s="77">
        <v>0.3</v>
      </c>
      <c r="E6" s="76">
        <v>0</v>
      </c>
      <c r="F6" s="62" t="s">
        <v>27</v>
      </c>
      <c r="G6" s="70">
        <v>0</v>
      </c>
      <c r="H6" s="70">
        <v>1</v>
      </c>
      <c r="I6" s="83">
        <f t="shared" si="0"/>
        <v>0</v>
      </c>
      <c r="J6" s="83">
        <f t="shared" si="1"/>
        <v>0</v>
      </c>
      <c r="K6" s="62">
        <v>287.03422887320266</v>
      </c>
      <c r="L6" s="62">
        <f t="shared" si="2"/>
        <v>0</v>
      </c>
      <c r="M6" s="62">
        <v>48.276129032258062</v>
      </c>
      <c r="N6" s="62">
        <f t="shared" si="3"/>
        <v>0</v>
      </c>
      <c r="O6" s="62">
        <v>359.38418451658248</v>
      </c>
      <c r="P6" s="62">
        <f t="shared" si="4"/>
        <v>0</v>
      </c>
      <c r="Q6" s="84">
        <v>0</v>
      </c>
      <c r="R6" s="84">
        <f t="shared" si="5"/>
        <v>0</v>
      </c>
      <c r="S6" s="60">
        <f t="shared" si="6"/>
        <v>0</v>
      </c>
      <c r="T6" s="60">
        <f t="shared" si="7"/>
        <v>0</v>
      </c>
      <c r="U6" s="60">
        <v>0</v>
      </c>
      <c r="V6" s="60">
        <f t="shared" si="8"/>
        <v>0</v>
      </c>
      <c r="W6" s="5"/>
      <c r="X6" s="7"/>
      <c r="Y6" s="6"/>
      <c r="Z6" s="6"/>
      <c r="AA6" s="6"/>
      <c r="AB6" s="6"/>
      <c r="AC6" s="8"/>
      <c r="AD6" s="8"/>
      <c r="AE6" s="7"/>
      <c r="AF6" s="7"/>
      <c r="AG6" s="7"/>
    </row>
    <row r="7" spans="1:33" ht="19.5" customHeight="1">
      <c r="A7" s="56" t="s">
        <v>5</v>
      </c>
      <c r="B7" s="56" t="s">
        <v>11</v>
      </c>
      <c r="C7" s="57" t="s">
        <v>12</v>
      </c>
      <c r="D7" s="77">
        <v>0.44</v>
      </c>
      <c r="E7" s="76">
        <v>138.08227600000001</v>
      </c>
      <c r="F7" s="62" t="s">
        <v>27</v>
      </c>
      <c r="G7" s="70">
        <v>0</v>
      </c>
      <c r="H7" s="70">
        <v>1</v>
      </c>
      <c r="I7" s="83">
        <f t="shared" si="0"/>
        <v>0</v>
      </c>
      <c r="J7" s="83">
        <f t="shared" si="1"/>
        <v>138.08227600000001</v>
      </c>
      <c r="K7" s="62">
        <v>287.03422887320266</v>
      </c>
      <c r="L7" s="62">
        <f t="shared" si="2"/>
        <v>39634.339612716743</v>
      </c>
      <c r="M7" s="62">
        <v>48.276129032258062</v>
      </c>
      <c r="N7" s="62">
        <f t="shared" si="3"/>
        <v>0</v>
      </c>
      <c r="O7" s="62">
        <v>359.38418451658248</v>
      </c>
      <c r="P7" s="62">
        <f t="shared" si="4"/>
        <v>49624.586156453668</v>
      </c>
      <c r="Q7" s="84">
        <v>115349.02</v>
      </c>
      <c r="R7" s="84">
        <f t="shared" si="5"/>
        <v>49624.586156453668</v>
      </c>
      <c r="S7" s="60">
        <f t="shared" si="6"/>
        <v>89258.925769170412</v>
      </c>
      <c r="T7" s="60">
        <f t="shared" si="7"/>
        <v>115349.02</v>
      </c>
      <c r="U7" s="60">
        <v>0</v>
      </c>
      <c r="V7" s="60">
        <f t="shared" si="8"/>
        <v>89258.925769170412</v>
      </c>
      <c r="W7" s="5"/>
      <c r="X7" s="7"/>
      <c r="Y7" s="6"/>
      <c r="Z7" s="6"/>
      <c r="AA7" s="6"/>
      <c r="AB7" s="6"/>
      <c r="AC7" s="8"/>
      <c r="AD7" s="8"/>
      <c r="AE7" s="7"/>
      <c r="AF7" s="7"/>
      <c r="AG7" s="7"/>
    </row>
    <row r="8" spans="1:33" ht="19.5" customHeight="1">
      <c r="A8" s="56" t="s">
        <v>5</v>
      </c>
      <c r="B8" s="56" t="s">
        <v>17</v>
      </c>
      <c r="C8" s="57" t="s">
        <v>18</v>
      </c>
      <c r="D8" s="77">
        <v>2.1</v>
      </c>
      <c r="E8" s="76">
        <v>0</v>
      </c>
      <c r="F8" s="62" t="s">
        <v>27</v>
      </c>
      <c r="G8" s="70">
        <v>0</v>
      </c>
      <c r="H8" s="70">
        <v>1</v>
      </c>
      <c r="I8" s="83">
        <f t="shared" si="0"/>
        <v>0</v>
      </c>
      <c r="J8" s="83">
        <f t="shared" si="1"/>
        <v>0</v>
      </c>
      <c r="K8" s="62">
        <v>241.55635447723549</v>
      </c>
      <c r="L8" s="62">
        <f t="shared" si="2"/>
        <v>0</v>
      </c>
      <c r="M8" s="62">
        <v>48.276129032258062</v>
      </c>
      <c r="N8" s="62">
        <f t="shared" si="3"/>
        <v>0</v>
      </c>
      <c r="O8" s="62">
        <v>277.14657879997077</v>
      </c>
      <c r="P8" s="62">
        <f t="shared" si="4"/>
        <v>0</v>
      </c>
      <c r="Q8" s="84">
        <v>0</v>
      </c>
      <c r="R8" s="84">
        <f t="shared" si="5"/>
        <v>0</v>
      </c>
      <c r="S8" s="60">
        <f t="shared" si="6"/>
        <v>0</v>
      </c>
      <c r="T8" s="60">
        <f t="shared" si="7"/>
        <v>0</v>
      </c>
      <c r="U8" s="60">
        <v>0</v>
      </c>
      <c r="V8" s="60">
        <f t="shared" si="8"/>
        <v>0</v>
      </c>
      <c r="W8" s="5"/>
      <c r="X8" s="7"/>
      <c r="Y8" s="6"/>
      <c r="Z8" s="6"/>
      <c r="AA8" s="6"/>
      <c r="AB8" s="6"/>
      <c r="AC8" s="8"/>
      <c r="AD8" s="8"/>
      <c r="AE8" s="7"/>
      <c r="AF8" s="7"/>
      <c r="AG8" s="7"/>
    </row>
    <row r="9" spans="1:33" ht="19.5" customHeight="1">
      <c r="A9" s="56" t="s">
        <v>5</v>
      </c>
      <c r="B9" s="56" t="s">
        <v>229</v>
      </c>
      <c r="C9" s="57" t="s">
        <v>230</v>
      </c>
      <c r="D9" s="77">
        <v>14.692</v>
      </c>
      <c r="E9" s="76">
        <v>0</v>
      </c>
      <c r="F9" s="62">
        <v>0</v>
      </c>
      <c r="G9" s="70">
        <v>0</v>
      </c>
      <c r="H9" s="70">
        <v>0</v>
      </c>
      <c r="I9" s="83">
        <f t="shared" si="0"/>
        <v>0</v>
      </c>
      <c r="J9" s="83">
        <f t="shared" si="1"/>
        <v>0</v>
      </c>
      <c r="K9" s="62">
        <v>177.36636811472189</v>
      </c>
      <c r="L9" s="62">
        <f t="shared" si="2"/>
        <v>0</v>
      </c>
      <c r="M9" s="62">
        <v>48.276129032258062</v>
      </c>
      <c r="N9" s="62">
        <f t="shared" si="3"/>
        <v>0</v>
      </c>
      <c r="O9" s="62">
        <v>215.1627079107858</v>
      </c>
      <c r="P9" s="62">
        <f t="shared" si="4"/>
        <v>0</v>
      </c>
      <c r="Q9" s="84">
        <v>0</v>
      </c>
      <c r="R9" s="84">
        <f>Q9</f>
        <v>0</v>
      </c>
      <c r="S9" s="60">
        <f t="shared" si="6"/>
        <v>0</v>
      </c>
      <c r="T9" s="60">
        <f t="shared" si="7"/>
        <v>0</v>
      </c>
      <c r="U9" s="60">
        <v>0</v>
      </c>
      <c r="V9" s="60">
        <f t="shared" si="8"/>
        <v>0</v>
      </c>
      <c r="W9" s="5"/>
      <c r="X9" s="7"/>
      <c r="Y9" s="6"/>
      <c r="Z9" s="6"/>
      <c r="AA9" s="6"/>
      <c r="AB9" s="6"/>
      <c r="AC9" s="8"/>
      <c r="AD9" s="8"/>
      <c r="AE9" s="7"/>
      <c r="AF9" s="7"/>
      <c r="AG9" s="7"/>
    </row>
    <row r="10" spans="1:33" ht="19.5" customHeight="1">
      <c r="A10" s="56" t="s">
        <v>5</v>
      </c>
      <c r="B10" s="56" t="s">
        <v>21</v>
      </c>
      <c r="C10" s="57" t="s">
        <v>34</v>
      </c>
      <c r="D10" s="77">
        <v>6.6</v>
      </c>
      <c r="E10" s="76">
        <v>5557.8658409999998</v>
      </c>
      <c r="F10" s="62" t="s">
        <v>27</v>
      </c>
      <c r="G10" s="70">
        <v>0</v>
      </c>
      <c r="H10" s="70">
        <v>1</v>
      </c>
      <c r="I10" s="83">
        <f t="shared" ref="I10:I11" si="9">E10*G10</f>
        <v>0</v>
      </c>
      <c r="J10" s="83">
        <f t="shared" ref="J10:J11" si="10">E10*H10</f>
        <v>5557.8658409999998</v>
      </c>
      <c r="K10" s="62">
        <v>202.7234062057521</v>
      </c>
      <c r="L10" s="62">
        <f t="shared" ref="L10:L11" si="11">E10*K10</f>
        <v>1126709.4945221171</v>
      </c>
      <c r="M10" s="62">
        <v>48.276129032258062</v>
      </c>
      <c r="N10" s="62">
        <f t="shared" ref="N10:N11" si="12">I10*M10</f>
        <v>0</v>
      </c>
      <c r="O10" s="62">
        <v>245.862266605901</v>
      </c>
      <c r="P10" s="62">
        <f t="shared" ref="P10:P11" si="13">J10*O10</f>
        <v>1366469.4931597721</v>
      </c>
      <c r="Q10" s="84">
        <v>1399806.8499999999</v>
      </c>
      <c r="R10" s="84">
        <f t="shared" ref="R10:R11" si="14">MIN(P10:Q10)</f>
        <v>1366469.4931597721</v>
      </c>
      <c r="S10" s="60">
        <f t="shared" ref="S10:S11" si="15">L10+N10+R10</f>
        <v>2493178.987681889</v>
      </c>
      <c r="T10" s="60">
        <f t="shared" ref="T10:T11" si="16">Q10</f>
        <v>1399806.8499999999</v>
      </c>
      <c r="U10" s="60">
        <v>0</v>
      </c>
      <c r="V10" s="60">
        <f>SUM(S10,U10)</f>
        <v>2493178.987681889</v>
      </c>
      <c r="W10" s="5"/>
      <c r="X10" s="7"/>
      <c r="Y10" s="6"/>
      <c r="Z10" s="6"/>
      <c r="AA10" s="6"/>
      <c r="AB10" s="6"/>
      <c r="AC10" s="8"/>
      <c r="AD10" s="8"/>
      <c r="AE10" s="7"/>
      <c r="AF10" s="7"/>
      <c r="AG10" s="7"/>
    </row>
    <row r="11" spans="1:33" ht="19.5" customHeight="1">
      <c r="A11" s="56" t="s">
        <v>5</v>
      </c>
      <c r="B11" s="56" t="s">
        <v>23</v>
      </c>
      <c r="C11" s="57" t="s">
        <v>24</v>
      </c>
      <c r="D11" s="77">
        <v>1.9</v>
      </c>
      <c r="E11" s="76">
        <v>0</v>
      </c>
      <c r="F11" s="62" t="s">
        <v>27</v>
      </c>
      <c r="G11" s="70">
        <v>0</v>
      </c>
      <c r="H11" s="70">
        <v>1</v>
      </c>
      <c r="I11" s="83">
        <f t="shared" si="9"/>
        <v>0</v>
      </c>
      <c r="J11" s="83">
        <f t="shared" si="10"/>
        <v>0</v>
      </c>
      <c r="K11" s="62">
        <v>241.55635447723549</v>
      </c>
      <c r="L11" s="62">
        <f t="shared" si="11"/>
        <v>0</v>
      </c>
      <c r="M11" s="62">
        <v>48.276129032258062</v>
      </c>
      <c r="N11" s="62">
        <f t="shared" si="12"/>
        <v>0</v>
      </c>
      <c r="O11" s="62">
        <v>277.14657879997077</v>
      </c>
      <c r="P11" s="62">
        <f t="shared" si="13"/>
        <v>0</v>
      </c>
      <c r="Q11" s="84">
        <v>0</v>
      </c>
      <c r="R11" s="84">
        <f t="shared" si="14"/>
        <v>0</v>
      </c>
      <c r="S11" s="60">
        <f t="shared" si="15"/>
        <v>0</v>
      </c>
      <c r="T11" s="60">
        <f t="shared" si="16"/>
        <v>0</v>
      </c>
      <c r="U11" s="60">
        <v>0</v>
      </c>
      <c r="V11" s="60">
        <f t="shared" ref="V11" si="17">SUM(S11,U11)</f>
        <v>0</v>
      </c>
      <c r="W11" s="5"/>
      <c r="X11" s="7"/>
      <c r="Y11" s="6"/>
      <c r="Z11" s="6"/>
      <c r="AA11" s="6"/>
      <c r="AB11" s="6"/>
      <c r="AC11" s="8"/>
      <c r="AD11" s="8"/>
      <c r="AE11" s="7"/>
      <c r="AF11" s="7"/>
      <c r="AG11" s="7"/>
    </row>
    <row r="12" spans="1:33" s="38" customFormat="1" ht="19.5" customHeight="1">
      <c r="E12" s="46">
        <f>SUBTOTAL(9,E5:E11)</f>
        <v>5695.9481169999999</v>
      </c>
      <c r="Q12" s="47">
        <f>SUBTOTAL(9,Q5:Q11)</f>
        <v>1515155.8699999999</v>
      </c>
      <c r="R12" s="48"/>
      <c r="S12" s="47">
        <f>SUBTOTAL(9,S5:S11)</f>
        <v>2582437.9134510593</v>
      </c>
      <c r="T12" s="47"/>
      <c r="U12" s="47">
        <f>SUBTOTAL(9,U5:U11)</f>
        <v>0</v>
      </c>
      <c r="V12" s="47">
        <f>SUBTOTAL(9,V5:V11)</f>
        <v>2582437.9134510593</v>
      </c>
    </row>
    <row r="13" spans="1:33" ht="19.5" customHeight="1">
      <c r="T13" s="17"/>
      <c r="U13" s="18"/>
      <c r="V13" s="18"/>
    </row>
  </sheetData>
  <mergeCells count="4">
    <mergeCell ref="O3:R3"/>
    <mergeCell ref="G3:H3"/>
    <mergeCell ref="I3:J3"/>
    <mergeCell ref="M3:N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13"/>
  <sheetViews>
    <sheetView showGridLines="0" workbookViewId="0">
      <selection activeCell="AP9" sqref="AP9"/>
    </sheetView>
  </sheetViews>
  <sheetFormatPr defaultRowHeight="19.5" customHeight="1"/>
  <cols>
    <col min="1" max="1" width="22.1640625" customWidth="1"/>
    <col min="2" max="2" width="24.9140625" customWidth="1"/>
    <col min="3" max="3" width="22.4140625" customWidth="1"/>
    <col min="4" max="4" width="30.6640625" customWidth="1"/>
    <col min="5" max="42" width="16.6640625" customWidth="1"/>
  </cols>
  <sheetData>
    <row r="1" spans="1:42" ht="49.5" customHeight="1">
      <c r="D1" s="23" t="str">
        <f>RESUMO!C1</f>
        <v>reembolso mensal CCC - AMAZONAS</v>
      </c>
    </row>
    <row r="2" spans="1:42" ht="30" customHeight="1">
      <c r="A2" s="12"/>
      <c r="B2" s="12"/>
      <c r="C2" s="12"/>
      <c r="D2" s="24" t="s">
        <v>262</v>
      </c>
      <c r="E2" s="20">
        <f>RESUMO!C2</f>
        <v>46143</v>
      </c>
      <c r="F2" s="16"/>
      <c r="G2" s="1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28" customFormat="1" ht="56">
      <c r="A3" s="55" t="s">
        <v>236</v>
      </c>
      <c r="B3" s="55" t="s">
        <v>284</v>
      </c>
      <c r="C3" s="55" t="s">
        <v>4</v>
      </c>
      <c r="D3" s="55" t="s">
        <v>237</v>
      </c>
      <c r="E3" s="55" t="s">
        <v>264</v>
      </c>
      <c r="F3" s="55" t="s">
        <v>285</v>
      </c>
      <c r="G3" s="55" t="s">
        <v>299</v>
      </c>
      <c r="H3" s="55" t="s">
        <v>300</v>
      </c>
      <c r="I3" s="71" t="s">
        <v>286</v>
      </c>
      <c r="J3" s="71" t="s">
        <v>301</v>
      </c>
      <c r="K3" s="71" t="s">
        <v>302</v>
      </c>
      <c r="L3" s="71" t="s">
        <v>303</v>
      </c>
      <c r="M3" s="71" t="s">
        <v>304</v>
      </c>
      <c r="N3" s="55" t="s">
        <v>305</v>
      </c>
      <c r="O3" s="55" t="s">
        <v>306</v>
      </c>
      <c r="P3" s="55" t="s">
        <v>307</v>
      </c>
      <c r="Q3" s="55" t="s">
        <v>308</v>
      </c>
      <c r="R3" s="55" t="s">
        <v>309</v>
      </c>
      <c r="S3" s="55" t="s">
        <v>310</v>
      </c>
      <c r="T3" s="55" t="s">
        <v>311</v>
      </c>
      <c r="U3" s="55" t="s">
        <v>312</v>
      </c>
      <c r="V3" s="55" t="s">
        <v>313</v>
      </c>
      <c r="W3" s="55" t="s">
        <v>314</v>
      </c>
      <c r="X3" s="55" t="s">
        <v>315</v>
      </c>
      <c r="Y3" s="55" t="s">
        <v>316</v>
      </c>
      <c r="Z3" s="71" t="s">
        <v>317</v>
      </c>
      <c r="AA3" s="71" t="s">
        <v>318</v>
      </c>
      <c r="AB3" s="71" t="s">
        <v>319</v>
      </c>
      <c r="AC3" s="71" t="s">
        <v>320</v>
      </c>
      <c r="AD3" s="71" t="s">
        <v>321</v>
      </c>
      <c r="AE3" s="71" t="s">
        <v>322</v>
      </c>
      <c r="AF3" s="71" t="s">
        <v>323</v>
      </c>
      <c r="AG3" s="71" t="s">
        <v>324</v>
      </c>
      <c r="AH3" s="71" t="s">
        <v>325</v>
      </c>
      <c r="AI3" s="71" t="s">
        <v>326</v>
      </c>
      <c r="AJ3" s="71" t="s">
        <v>327</v>
      </c>
      <c r="AK3" s="72" t="s">
        <v>328</v>
      </c>
      <c r="AL3" s="73" t="s">
        <v>329</v>
      </c>
      <c r="AM3" s="73" t="s">
        <v>330</v>
      </c>
      <c r="AN3" s="74" t="s">
        <v>331</v>
      </c>
      <c r="AO3" s="74" t="s">
        <v>296</v>
      </c>
      <c r="AP3" s="74" t="s">
        <v>298</v>
      </c>
    </row>
    <row r="4" spans="1:42" ht="19.5" customHeight="1">
      <c r="A4" s="75" t="s">
        <v>5</v>
      </c>
      <c r="B4" s="75" t="s">
        <v>227</v>
      </c>
      <c r="C4" s="56" t="s">
        <v>38</v>
      </c>
      <c r="D4" s="75" t="s">
        <v>42</v>
      </c>
      <c r="E4" s="76">
        <v>1079.3057269999999</v>
      </c>
      <c r="F4" s="76">
        <f>E4</f>
        <v>1079.3057269999999</v>
      </c>
      <c r="G4" s="95">
        <v>472577.04</v>
      </c>
      <c r="H4" s="77">
        <v>2</v>
      </c>
      <c r="I4" s="77"/>
      <c r="J4" s="60"/>
      <c r="K4" s="60"/>
      <c r="L4" s="60"/>
      <c r="M4" s="60"/>
      <c r="N4" s="60">
        <v>620.66</v>
      </c>
      <c r="O4" s="60">
        <f t="shared" ref="O4:O8" si="0">N4*0.25</f>
        <v>155.16499999999999</v>
      </c>
      <c r="P4" s="60">
        <f t="shared" ref="P4:P8" si="1">N4*0.0925</f>
        <v>57.411049999999996</v>
      </c>
      <c r="Q4" s="60">
        <f t="shared" ref="Q4:Q8" si="2">N4-O4-P4</f>
        <v>408.08395000000002</v>
      </c>
      <c r="R4" s="60">
        <f t="shared" ref="R4:R7" si="3">J4*I4+N4*E4</f>
        <v>669881.8925198199</v>
      </c>
      <c r="S4" s="60">
        <v>669880.04</v>
      </c>
      <c r="T4" s="60">
        <f t="shared" ref="T4:T8" si="4">MIN(R4:S4)</f>
        <v>669880.04</v>
      </c>
      <c r="U4" s="60">
        <f t="shared" ref="U4:U8" si="5">M4*I4+Q4*E4</f>
        <v>440447.34433178161</v>
      </c>
      <c r="V4" s="60">
        <f t="shared" ref="V4:V8" si="6">S4-W4-X4</f>
        <v>440446.1263</v>
      </c>
      <c r="W4" s="60">
        <f t="shared" ref="W4:W8" si="7">S4*0.25</f>
        <v>167470.01</v>
      </c>
      <c r="X4" s="60">
        <f t="shared" ref="X4:X8" si="8">S4*0.0925</f>
        <v>61963.903700000003</v>
      </c>
      <c r="Y4" s="60">
        <f t="shared" ref="Y4:Y8" si="9">MIN(U4:V4)</f>
        <v>440446.1263</v>
      </c>
      <c r="Z4" s="60">
        <v>930.71973399068986</v>
      </c>
      <c r="AA4" s="60">
        <f t="shared" ref="AA4:AA8" si="10">(Z4)*25%</f>
        <v>232.67993349767247</v>
      </c>
      <c r="AB4" s="60">
        <f t="shared" ref="AB4:AB8" si="11">Z4*9.25%</f>
        <v>86.091575394138815</v>
      </c>
      <c r="AC4" s="60">
        <f t="shared" ref="AC4:AC8" si="12">Z4-AA4-AB4</f>
        <v>611.94822509887865</v>
      </c>
      <c r="AD4" s="60">
        <f t="shared" ref="AD4:AD8" si="13">E4*Z4</f>
        <v>1004531.1391280681</v>
      </c>
      <c r="AE4" s="60">
        <v>1003153.69</v>
      </c>
      <c r="AF4" s="60">
        <f t="shared" ref="AF4:AF8" si="14">MIN(AD4:AE4)</f>
        <v>1003153.69</v>
      </c>
      <c r="AG4" s="60">
        <f t="shared" ref="AG4:AG8" si="15">AC4*E4</f>
        <v>660479.22397670487</v>
      </c>
      <c r="AH4" s="60">
        <f t="shared" ref="AH4:AH8" si="16">AE4-AI4-AJ4</f>
        <v>659573.55117499991</v>
      </c>
      <c r="AI4" s="60">
        <f t="shared" ref="AI4:AI8" si="17">AE4*0.25</f>
        <v>250788.42249999999</v>
      </c>
      <c r="AJ4" s="60">
        <f t="shared" ref="AJ4:AJ8" si="18">AE4*0.0925</f>
        <v>92791.716324999987</v>
      </c>
      <c r="AK4" s="60">
        <f t="shared" ref="AK4:AK8" si="19">MIN(AG4:AH4)</f>
        <v>659573.55117499991</v>
      </c>
      <c r="AL4" s="78">
        <v>1</v>
      </c>
      <c r="AM4" s="78">
        <v>1</v>
      </c>
      <c r="AN4" s="60">
        <f t="shared" ref="AN4:AN8" si="20">(MIN(R4*0.25,W4)+MIN(AD4*0.25,AI4))*AL4+(MIN(R4*0.0925,X4)+MIN(AD4*0.0925,AJ4))*AM4</f>
        <v>573014.05252499995</v>
      </c>
      <c r="AO4" s="60">
        <f t="shared" ref="AO4:AO8" si="21">SUM(AK4,Y4)</f>
        <v>1100019.6774749998</v>
      </c>
      <c r="AP4" s="60">
        <f t="shared" ref="AP4:AP8" si="22">SUM(AN4:AO4)</f>
        <v>1673033.7299999997</v>
      </c>
    </row>
    <row r="5" spans="1:42" ht="19.5" customHeight="1">
      <c r="A5" s="75" t="s">
        <v>5</v>
      </c>
      <c r="B5" s="75" t="s">
        <v>227</v>
      </c>
      <c r="C5" s="56" t="s">
        <v>39</v>
      </c>
      <c r="D5" s="75" t="s">
        <v>43</v>
      </c>
      <c r="E5" s="76">
        <v>1995.6020390000001</v>
      </c>
      <c r="F5" s="76">
        <f t="shared" ref="F5:F8" si="23">E5</f>
        <v>1995.6020390000001</v>
      </c>
      <c r="G5" s="95">
        <v>777766.08</v>
      </c>
      <c r="H5" s="77">
        <v>5.484</v>
      </c>
      <c r="I5" s="77"/>
      <c r="J5" s="60"/>
      <c r="K5" s="60"/>
      <c r="L5" s="60"/>
      <c r="M5" s="60"/>
      <c r="N5" s="60">
        <v>620.66</v>
      </c>
      <c r="O5" s="60">
        <f t="shared" si="0"/>
        <v>155.16499999999999</v>
      </c>
      <c r="P5" s="60">
        <f t="shared" si="1"/>
        <v>57.411049999999996</v>
      </c>
      <c r="Q5" s="60">
        <f t="shared" si="2"/>
        <v>408.08395000000002</v>
      </c>
      <c r="R5" s="60">
        <f t="shared" si="3"/>
        <v>1238590.36152574</v>
      </c>
      <c r="S5" s="60">
        <v>1238587.6100000001</v>
      </c>
      <c r="T5" s="60">
        <f t="shared" si="4"/>
        <v>1238587.6100000001</v>
      </c>
      <c r="U5" s="60">
        <f t="shared" si="5"/>
        <v>814373.16270317417</v>
      </c>
      <c r="V5" s="60">
        <f t="shared" si="6"/>
        <v>814371.35357500007</v>
      </c>
      <c r="W5" s="60">
        <f t="shared" si="7"/>
        <v>309646.90250000003</v>
      </c>
      <c r="X5" s="60">
        <f t="shared" si="8"/>
        <v>114569.353925</v>
      </c>
      <c r="Y5" s="60">
        <f t="shared" si="9"/>
        <v>814371.35357500007</v>
      </c>
      <c r="Z5" s="60">
        <v>828.44912926883205</v>
      </c>
      <c r="AA5" s="60">
        <f t="shared" si="10"/>
        <v>207.11228231720801</v>
      </c>
      <c r="AB5" s="60">
        <f t="shared" si="11"/>
        <v>76.631544457366971</v>
      </c>
      <c r="AC5" s="60">
        <f t="shared" si="12"/>
        <v>544.70530249425701</v>
      </c>
      <c r="AD5" s="60">
        <f t="shared" si="13"/>
        <v>1653254.7715766558</v>
      </c>
      <c r="AE5" s="60">
        <v>1651001.28</v>
      </c>
      <c r="AF5" s="60">
        <f t="shared" si="14"/>
        <v>1651001.28</v>
      </c>
      <c r="AG5" s="60">
        <f t="shared" si="15"/>
        <v>1087015.0123116511</v>
      </c>
      <c r="AH5" s="60">
        <f t="shared" si="16"/>
        <v>1085533.3415999999</v>
      </c>
      <c r="AI5" s="60">
        <f t="shared" si="17"/>
        <v>412750.32</v>
      </c>
      <c r="AJ5" s="60">
        <f t="shared" si="18"/>
        <v>152717.61840000001</v>
      </c>
      <c r="AK5" s="60">
        <f t="shared" si="19"/>
        <v>1085533.3415999999</v>
      </c>
      <c r="AL5" s="78">
        <v>1</v>
      </c>
      <c r="AM5" s="78">
        <v>1</v>
      </c>
      <c r="AN5" s="60">
        <f t="shared" si="20"/>
        <v>989684.19482500001</v>
      </c>
      <c r="AO5" s="60">
        <f t="shared" si="21"/>
        <v>1899904.695175</v>
      </c>
      <c r="AP5" s="60">
        <f t="shared" si="22"/>
        <v>2889588.89</v>
      </c>
    </row>
    <row r="6" spans="1:42" ht="19.5" customHeight="1">
      <c r="A6" s="75" t="s">
        <v>5</v>
      </c>
      <c r="B6" s="75" t="s">
        <v>227</v>
      </c>
      <c r="C6" s="56" t="s">
        <v>40</v>
      </c>
      <c r="D6" s="75" t="s">
        <v>25</v>
      </c>
      <c r="E6" s="76">
        <v>974.85777899999994</v>
      </c>
      <c r="F6" s="76">
        <f t="shared" si="23"/>
        <v>974.85777899999994</v>
      </c>
      <c r="G6" s="95">
        <v>368215.44</v>
      </c>
      <c r="H6" s="77">
        <v>2</v>
      </c>
      <c r="I6" s="77"/>
      <c r="J6" s="60"/>
      <c r="K6" s="60"/>
      <c r="L6" s="60"/>
      <c r="M6" s="60"/>
      <c r="N6" s="60">
        <v>620.66</v>
      </c>
      <c r="O6" s="60">
        <f t="shared" si="0"/>
        <v>155.16499999999999</v>
      </c>
      <c r="P6" s="60">
        <f t="shared" si="1"/>
        <v>57.411049999999996</v>
      </c>
      <c r="Q6" s="60">
        <f t="shared" si="2"/>
        <v>408.08395000000002</v>
      </c>
      <c r="R6" s="60">
        <f t="shared" si="3"/>
        <v>605055.22911413992</v>
      </c>
      <c r="S6" s="60">
        <v>605053.32999999996</v>
      </c>
      <c r="T6" s="60">
        <f t="shared" si="4"/>
        <v>605053.32999999996</v>
      </c>
      <c r="U6" s="60">
        <f t="shared" si="5"/>
        <v>397823.81314254703</v>
      </c>
      <c r="V6" s="60">
        <f t="shared" si="6"/>
        <v>397822.56447499996</v>
      </c>
      <c r="W6" s="60">
        <f t="shared" si="7"/>
        <v>151263.33249999999</v>
      </c>
      <c r="X6" s="60">
        <f t="shared" si="8"/>
        <v>55967.433024999998</v>
      </c>
      <c r="Y6" s="60">
        <f t="shared" si="9"/>
        <v>397822.56447499996</v>
      </c>
      <c r="Z6" s="60">
        <v>802.88162738476171</v>
      </c>
      <c r="AA6" s="60">
        <f t="shared" si="10"/>
        <v>200.72040684619043</v>
      </c>
      <c r="AB6" s="60">
        <f t="shared" si="11"/>
        <v>74.266550533090452</v>
      </c>
      <c r="AC6" s="60">
        <f t="shared" si="12"/>
        <v>527.89467000548086</v>
      </c>
      <c r="AD6" s="60">
        <f t="shared" si="13"/>
        <v>782695.40007221431</v>
      </c>
      <c r="AE6" s="60">
        <v>781636.28</v>
      </c>
      <c r="AF6" s="60">
        <f t="shared" si="14"/>
        <v>781636.28</v>
      </c>
      <c r="AG6" s="60">
        <f t="shared" si="15"/>
        <v>514622.22554748098</v>
      </c>
      <c r="AH6" s="60">
        <f t="shared" si="16"/>
        <v>513925.8541</v>
      </c>
      <c r="AI6" s="60">
        <f t="shared" si="17"/>
        <v>195409.07</v>
      </c>
      <c r="AJ6" s="60">
        <f t="shared" si="18"/>
        <v>72301.355899999995</v>
      </c>
      <c r="AK6" s="60">
        <f t="shared" si="19"/>
        <v>513925.8541</v>
      </c>
      <c r="AL6" s="78">
        <v>1</v>
      </c>
      <c r="AM6" s="78">
        <v>1</v>
      </c>
      <c r="AN6" s="60">
        <f t="shared" si="20"/>
        <v>474941.19142499997</v>
      </c>
      <c r="AO6" s="60">
        <f t="shared" si="21"/>
        <v>911748.41857500002</v>
      </c>
      <c r="AP6" s="60">
        <f t="shared" si="22"/>
        <v>1386689.6099999999</v>
      </c>
    </row>
    <row r="7" spans="1:42" ht="19.5" customHeight="1">
      <c r="A7" s="75" t="s">
        <v>5</v>
      </c>
      <c r="B7" s="75" t="s">
        <v>227</v>
      </c>
      <c r="C7" s="56" t="s">
        <v>41</v>
      </c>
      <c r="D7" s="75" t="s">
        <v>44</v>
      </c>
      <c r="E7" s="76">
        <v>2877.8020590000001</v>
      </c>
      <c r="F7" s="76">
        <f t="shared" si="23"/>
        <v>2877.8020590000001</v>
      </c>
      <c r="G7" s="95">
        <v>1149570</v>
      </c>
      <c r="H7" s="77">
        <v>5.484</v>
      </c>
      <c r="I7" s="77"/>
      <c r="J7" s="60"/>
      <c r="K7" s="60"/>
      <c r="L7" s="60"/>
      <c r="M7" s="60"/>
      <c r="N7" s="60">
        <v>620.66</v>
      </c>
      <c r="O7" s="60">
        <f t="shared" si="0"/>
        <v>155.16499999999999</v>
      </c>
      <c r="P7" s="60">
        <f t="shared" si="1"/>
        <v>57.411049999999996</v>
      </c>
      <c r="Q7" s="60">
        <f t="shared" si="2"/>
        <v>408.08395000000002</v>
      </c>
      <c r="R7" s="60">
        <f t="shared" si="3"/>
        <v>1786136.6259389399</v>
      </c>
      <c r="S7" s="60">
        <v>1786135.64</v>
      </c>
      <c r="T7" s="60">
        <f t="shared" si="4"/>
        <v>1786135.64</v>
      </c>
      <c r="U7" s="60">
        <f t="shared" si="5"/>
        <v>1174384.8315548531</v>
      </c>
      <c r="V7" s="60">
        <f t="shared" si="6"/>
        <v>1174384.1832999999</v>
      </c>
      <c r="W7" s="60">
        <f t="shared" si="7"/>
        <v>446533.91</v>
      </c>
      <c r="X7" s="60">
        <f t="shared" si="8"/>
        <v>165217.54669999998</v>
      </c>
      <c r="Y7" s="60">
        <f t="shared" si="9"/>
        <v>1174384.1832999999</v>
      </c>
      <c r="Z7" s="60">
        <v>849.11260642976197</v>
      </c>
      <c r="AA7" s="60">
        <f t="shared" si="10"/>
        <v>212.27815160744049</v>
      </c>
      <c r="AB7" s="60">
        <f t="shared" si="11"/>
        <v>78.542916094752982</v>
      </c>
      <c r="AC7" s="60">
        <f t="shared" si="12"/>
        <v>558.29153872756854</v>
      </c>
      <c r="AD7" s="60">
        <f t="shared" si="13"/>
        <v>2443578.0071064257</v>
      </c>
      <c r="AE7" s="60">
        <v>2440258.9900000002</v>
      </c>
      <c r="AF7" s="60">
        <f t="shared" si="14"/>
        <v>2440258.9900000002</v>
      </c>
      <c r="AG7" s="60">
        <f t="shared" si="15"/>
        <v>1606652.5396724751</v>
      </c>
      <c r="AH7" s="60">
        <f t="shared" si="16"/>
        <v>1604470.2859250002</v>
      </c>
      <c r="AI7" s="60">
        <f t="shared" si="17"/>
        <v>610064.74750000006</v>
      </c>
      <c r="AJ7" s="60">
        <f t="shared" si="18"/>
        <v>225723.95657500002</v>
      </c>
      <c r="AK7" s="60">
        <f t="shared" si="19"/>
        <v>1604470.2859250002</v>
      </c>
      <c r="AL7" s="78">
        <v>1</v>
      </c>
      <c r="AM7" s="78">
        <v>1</v>
      </c>
      <c r="AN7" s="60">
        <f t="shared" si="20"/>
        <v>1447540.160775</v>
      </c>
      <c r="AO7" s="60">
        <f t="shared" si="21"/>
        <v>2778854.4692250001</v>
      </c>
      <c r="AP7" s="60">
        <f t="shared" si="22"/>
        <v>4226394.63</v>
      </c>
    </row>
    <row r="8" spans="1:42" ht="19.5" customHeight="1">
      <c r="A8" s="75" t="s">
        <v>5</v>
      </c>
      <c r="B8" s="75" t="s">
        <v>227</v>
      </c>
      <c r="C8" s="56" t="s">
        <v>48</v>
      </c>
      <c r="D8" s="75" t="s">
        <v>13</v>
      </c>
      <c r="E8" s="76">
        <v>11270.32511</v>
      </c>
      <c r="F8" s="76">
        <f t="shared" si="23"/>
        <v>11270.32511</v>
      </c>
      <c r="G8" s="95">
        <v>3201520</v>
      </c>
      <c r="H8" s="77">
        <v>38.771999999999998</v>
      </c>
      <c r="I8" s="77"/>
      <c r="J8" s="60"/>
      <c r="K8" s="60"/>
      <c r="L8" s="60"/>
      <c r="M8" s="60"/>
      <c r="N8" s="60">
        <v>413.86524519543275</v>
      </c>
      <c r="O8" s="60">
        <f t="shared" si="0"/>
        <v>103.46631129885819</v>
      </c>
      <c r="P8" s="60">
        <f t="shared" si="1"/>
        <v>38.282535180577526</v>
      </c>
      <c r="Q8" s="60">
        <f t="shared" si="2"/>
        <v>272.11639871599709</v>
      </c>
      <c r="R8" s="60">
        <f>J8+N8*E8</f>
        <v>4664395.8650823925</v>
      </c>
      <c r="S8" s="60">
        <v>4664394.1900000004</v>
      </c>
      <c r="T8" s="60">
        <f t="shared" si="4"/>
        <v>4664394.1900000004</v>
      </c>
      <c r="U8" s="60">
        <f t="shared" si="5"/>
        <v>3066840.2812916739</v>
      </c>
      <c r="V8" s="60">
        <f t="shared" si="6"/>
        <v>3066839.1799250003</v>
      </c>
      <c r="W8" s="60">
        <f t="shared" si="7"/>
        <v>1166098.5475000001</v>
      </c>
      <c r="X8" s="60">
        <f t="shared" si="8"/>
        <v>431456.46257500001</v>
      </c>
      <c r="Y8" s="60">
        <f t="shared" si="9"/>
        <v>3066839.1799250003</v>
      </c>
      <c r="Z8" s="60">
        <v>4661.8155383451931</v>
      </c>
      <c r="AA8" s="60">
        <f t="shared" si="10"/>
        <v>1165.4538845862983</v>
      </c>
      <c r="AB8" s="60">
        <f t="shared" si="11"/>
        <v>431.21793729693036</v>
      </c>
      <c r="AC8" s="60">
        <f t="shared" si="12"/>
        <v>3065.1437164619647</v>
      </c>
      <c r="AD8" s="60">
        <f t="shared" si="13"/>
        <v>52540176.719999999</v>
      </c>
      <c r="AE8" s="60">
        <v>6502060.0300000003</v>
      </c>
      <c r="AF8" s="60">
        <f t="shared" si="14"/>
        <v>6502060.0300000003</v>
      </c>
      <c r="AG8" s="60">
        <f t="shared" si="15"/>
        <v>34545166.193400003</v>
      </c>
      <c r="AH8" s="60">
        <f t="shared" si="16"/>
        <v>4275104.4697249997</v>
      </c>
      <c r="AI8" s="60">
        <f t="shared" si="17"/>
        <v>1625515.0075000001</v>
      </c>
      <c r="AJ8" s="60">
        <f t="shared" si="18"/>
        <v>601440.55277499999</v>
      </c>
      <c r="AK8" s="60">
        <f t="shared" si="19"/>
        <v>4275104.4697249997</v>
      </c>
      <c r="AL8" s="78">
        <v>1</v>
      </c>
      <c r="AM8" s="78">
        <v>1</v>
      </c>
      <c r="AN8" s="60">
        <f t="shared" si="20"/>
        <v>3824510.5703500002</v>
      </c>
      <c r="AO8" s="60">
        <f t="shared" si="21"/>
        <v>7341943.64965</v>
      </c>
      <c r="AP8" s="60">
        <f t="shared" si="22"/>
        <v>11166454.220000001</v>
      </c>
    </row>
    <row r="9" spans="1:42" s="38" customFormat="1" ht="19.5" customHeight="1">
      <c r="E9" s="39">
        <f>SUM(E4:E8)</f>
        <v>18197.892714000001</v>
      </c>
      <c r="F9" s="39">
        <f>SUM(F4:F8)</f>
        <v>18197.892714000001</v>
      </c>
      <c r="G9" s="39">
        <f>SUM(G4:G8)</f>
        <v>5969648.5599999996</v>
      </c>
      <c r="S9" s="40">
        <f>SUM(S4:S8)</f>
        <v>8964050.8100000005</v>
      </c>
      <c r="T9" s="40">
        <f>SUM(T4:T8)</f>
        <v>8964050.8100000005</v>
      </c>
      <c r="U9" s="40"/>
      <c r="V9" s="40"/>
      <c r="Y9" s="40">
        <f>SUM(Y4:Y8)</f>
        <v>5893863.4075750001</v>
      </c>
      <c r="AE9" s="40">
        <f>SUM(AE4:AE8)</f>
        <v>12378110.27</v>
      </c>
      <c r="AF9" s="40">
        <f>SUM(AF4:AF8)</f>
        <v>12378110.27</v>
      </c>
      <c r="AG9" s="40">
        <f>SUM(AG4:AG8)</f>
        <v>38413935.194908313</v>
      </c>
      <c r="AN9" s="40">
        <f>SUM(AN4:AN8)</f>
        <v>7309690.1699000001</v>
      </c>
      <c r="AO9" s="40">
        <f>SUM(AO4:AO8)</f>
        <v>14032470.9101</v>
      </c>
      <c r="AP9" s="40">
        <f>SUM(AP4:AP8)</f>
        <v>21342161.079999998</v>
      </c>
    </row>
    <row r="10" spans="1:42" ht="19.5" customHeight="1">
      <c r="AF10" s="21"/>
    </row>
    <row r="11" spans="1:42" ht="19.5" customHeight="1">
      <c r="AP11" s="100"/>
    </row>
    <row r="12" spans="1:42" ht="19.5" customHeight="1">
      <c r="AP12" s="15"/>
    </row>
    <row r="13" spans="1:42" ht="19.5" customHeight="1">
      <c r="F13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80"/>
  <sheetViews>
    <sheetView showGridLines="0" zoomScale="90" zoomScaleNormal="90" workbookViewId="0">
      <selection activeCell="T90" sqref="T90"/>
    </sheetView>
  </sheetViews>
  <sheetFormatPr defaultColWidth="9.1640625" defaultRowHeight="19.5" customHeight="1"/>
  <cols>
    <col min="1" max="1" width="30.6640625" customWidth="1"/>
    <col min="2" max="2" width="18" customWidth="1"/>
    <col min="3" max="3" width="21.9140625" customWidth="1"/>
    <col min="4" max="4" width="45.6640625" customWidth="1"/>
    <col min="5" max="23" width="16.6640625" customWidth="1"/>
    <col min="24" max="24" width="12" customWidth="1"/>
    <col min="25" max="25" width="12.4140625" customWidth="1"/>
  </cols>
  <sheetData>
    <row r="1" spans="1:25" ht="49.5" customHeight="1">
      <c r="D1" s="23" t="str">
        <f>RESUMO!C1</f>
        <v>reembolso mensal CCC - AMAZONAS</v>
      </c>
      <c r="F1" s="14"/>
    </row>
    <row r="2" spans="1:25" ht="30" customHeight="1">
      <c r="A2" s="12"/>
      <c r="B2" s="12"/>
      <c r="C2" s="12"/>
      <c r="D2" s="24" t="s">
        <v>262</v>
      </c>
      <c r="E2" s="20">
        <f>RESUMO!C2</f>
        <v>46143</v>
      </c>
      <c r="F2" s="14"/>
      <c r="G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5" s="28" customFormat="1" ht="60" customHeight="1">
      <c r="A3" s="55" t="s">
        <v>236</v>
      </c>
      <c r="B3" s="55" t="s">
        <v>284</v>
      </c>
      <c r="C3" s="55" t="s">
        <v>4</v>
      </c>
      <c r="D3" s="55" t="s">
        <v>237</v>
      </c>
      <c r="E3" s="55" t="s">
        <v>264</v>
      </c>
      <c r="F3" s="55" t="s">
        <v>300</v>
      </c>
      <c r="G3" s="55" t="s">
        <v>332</v>
      </c>
      <c r="H3" s="55" t="s">
        <v>333</v>
      </c>
      <c r="I3" s="55" t="s">
        <v>334</v>
      </c>
      <c r="J3" s="55" t="s">
        <v>287</v>
      </c>
      <c r="K3" s="55" t="s">
        <v>335</v>
      </c>
      <c r="L3" s="55" t="s">
        <v>336</v>
      </c>
      <c r="M3" s="55" t="s">
        <v>337</v>
      </c>
      <c r="N3" s="55" t="s">
        <v>338</v>
      </c>
      <c r="O3" s="63" t="s">
        <v>339</v>
      </c>
      <c r="P3" s="63" t="s">
        <v>340</v>
      </c>
      <c r="Q3" s="63" t="s">
        <v>341</v>
      </c>
      <c r="R3" s="63" t="s">
        <v>342</v>
      </c>
      <c r="S3" s="63" t="s">
        <v>330</v>
      </c>
      <c r="T3" s="63" t="s">
        <v>343</v>
      </c>
      <c r="U3" s="63" t="s">
        <v>344</v>
      </c>
      <c r="V3" s="63" t="s">
        <v>345</v>
      </c>
      <c r="W3" s="63" t="s">
        <v>298</v>
      </c>
    </row>
    <row r="4" spans="1:25" ht="19.5" customHeight="1">
      <c r="A4" s="57" t="s">
        <v>5</v>
      </c>
      <c r="B4" s="57" t="s">
        <v>182</v>
      </c>
      <c r="C4" s="56" t="s">
        <v>156</v>
      </c>
      <c r="D4" s="57" t="s">
        <v>183</v>
      </c>
      <c r="E4" s="64">
        <v>213.69281700000002</v>
      </c>
      <c r="F4" s="65">
        <v>0.89100000000000001</v>
      </c>
      <c r="G4" s="60">
        <v>97889.327466999996</v>
      </c>
      <c r="H4" s="60">
        <v>439154.20783481223</v>
      </c>
      <c r="I4" s="60">
        <f>SUM(G4:H4)</f>
        <v>537043.53530181223</v>
      </c>
      <c r="J4" s="60">
        <f>IF(E4=0,0,I4/E4)</f>
        <v>2513.1567024164979</v>
      </c>
      <c r="K4" s="60">
        <v>536087.34</v>
      </c>
      <c r="L4" s="60">
        <v>2514.1566636573612</v>
      </c>
      <c r="M4" s="60">
        <f>MIN(I4,K4)</f>
        <v>536087.34</v>
      </c>
      <c r="N4" s="60">
        <f>IF(E4=0,0,M4/E4)</f>
        <v>2508.6820770395848</v>
      </c>
      <c r="O4" s="60">
        <f>N4*9.25%</f>
        <v>232.0530921261616</v>
      </c>
      <c r="P4" s="60">
        <f>N4-O4</f>
        <v>2276.6289849134232</v>
      </c>
      <c r="Q4" s="60">
        <f>E4*O4</f>
        <v>49588.078949999996</v>
      </c>
      <c r="R4" s="60">
        <f>ROUND(E4*P4,6)</f>
        <v>486499.26104999997</v>
      </c>
      <c r="S4" s="66">
        <v>1</v>
      </c>
      <c r="T4" s="60">
        <f>ROUND(Q4*S4,6)</f>
        <v>49588.078950000003</v>
      </c>
      <c r="U4" s="60">
        <f>R4</f>
        <v>486499.26104999997</v>
      </c>
      <c r="V4" s="60">
        <v>-848.24</v>
      </c>
      <c r="W4" s="60">
        <f>SUM(T4:V4)</f>
        <v>535239.1</v>
      </c>
      <c r="X4" s="21"/>
      <c r="Y4" s="21"/>
    </row>
    <row r="5" spans="1:25" ht="19.5" customHeight="1">
      <c r="A5" s="57" t="s">
        <v>5</v>
      </c>
      <c r="B5" s="57" t="s">
        <v>182</v>
      </c>
      <c r="C5" s="56" t="s">
        <v>83</v>
      </c>
      <c r="D5" s="57" t="s">
        <v>184</v>
      </c>
      <c r="E5" s="64">
        <v>1349.5840819999999</v>
      </c>
      <c r="F5" s="65">
        <v>3.8719999999999999</v>
      </c>
      <c r="G5" s="60">
        <v>472264.50041899999</v>
      </c>
      <c r="H5" s="60">
        <v>2916101.5083044306</v>
      </c>
      <c r="I5" s="60">
        <f t="shared" ref="I5:I68" si="0">SUM(G5:H5)</f>
        <v>3388366.0087234308</v>
      </c>
      <c r="J5" s="60">
        <f t="shared" ref="J5:J68" si="1">IF(E5=0,0,I5/E5)</f>
        <v>2510.6742543244009</v>
      </c>
      <c r="K5" s="60">
        <v>3226510.6</v>
      </c>
      <c r="L5" s="60">
        <v>2393.9582376043786</v>
      </c>
      <c r="M5" s="60">
        <f t="shared" ref="M5:M68" si="2">MIN(I5,K5)</f>
        <v>3226510.6</v>
      </c>
      <c r="N5" s="60">
        <f t="shared" ref="N5:N68" si="3">IF(E5=0,0,M5/E5)</f>
        <v>2390.7444100989333</v>
      </c>
      <c r="O5" s="60">
        <f t="shared" ref="O5:O68" si="4">N5*9.25%</f>
        <v>221.14385793415133</v>
      </c>
      <c r="P5" s="60">
        <f t="shared" ref="P5:P68" si="5">N5-O5</f>
        <v>2169.6005521647821</v>
      </c>
      <c r="Q5" s="60">
        <f t="shared" ref="Q5:Q68" si="6">E5*O5</f>
        <v>298452.23050000001</v>
      </c>
      <c r="R5" s="60">
        <f t="shared" ref="R5:R68" si="7">ROUND(E5*P5,6)</f>
        <v>2928058.3695</v>
      </c>
      <c r="S5" s="66">
        <v>1</v>
      </c>
      <c r="T5" s="60">
        <f t="shared" ref="T5:T68" si="8">ROUND(Q5*S5,6)</f>
        <v>298452.23050000001</v>
      </c>
      <c r="U5" s="60">
        <f t="shared" ref="U5:U68" si="9">R5</f>
        <v>2928058.3695</v>
      </c>
      <c r="V5" s="60">
        <v>0</v>
      </c>
      <c r="W5" s="60">
        <f t="shared" ref="W5:W68" si="10">SUM(T5:V5)</f>
        <v>3226510.6</v>
      </c>
      <c r="X5" s="21"/>
      <c r="Y5" s="21"/>
    </row>
    <row r="6" spans="1:25" ht="19.5" customHeight="1">
      <c r="A6" s="57" t="s">
        <v>5</v>
      </c>
      <c r="B6" s="57" t="s">
        <v>138</v>
      </c>
      <c r="C6" s="56" t="s">
        <v>170</v>
      </c>
      <c r="D6" s="57" t="s">
        <v>166</v>
      </c>
      <c r="E6" s="64">
        <v>100.121706</v>
      </c>
      <c r="F6" s="65">
        <v>0.70799999999999996</v>
      </c>
      <c r="G6" s="60">
        <v>3701.489227</v>
      </c>
      <c r="H6" s="60">
        <v>232072.51679495652</v>
      </c>
      <c r="I6" s="60">
        <f t="shared" si="0"/>
        <v>235774.00602195653</v>
      </c>
      <c r="J6" s="60">
        <f t="shared" si="1"/>
        <v>2354.8740372238217</v>
      </c>
      <c r="K6" s="60">
        <v>235774.01</v>
      </c>
      <c r="L6" s="60">
        <v>2354.9142029564523</v>
      </c>
      <c r="M6" s="60">
        <f t="shared" si="2"/>
        <v>235774.00602195653</v>
      </c>
      <c r="N6" s="60">
        <f t="shared" si="3"/>
        <v>2354.8740372238217</v>
      </c>
      <c r="O6" s="60">
        <f t="shared" si="4"/>
        <v>217.82584844320351</v>
      </c>
      <c r="P6" s="60">
        <f t="shared" si="5"/>
        <v>2137.0481887806181</v>
      </c>
      <c r="Q6" s="60">
        <f t="shared" si="6"/>
        <v>21809.095557030982</v>
      </c>
      <c r="R6" s="60">
        <f t="shared" si="7"/>
        <v>213964.91046499999</v>
      </c>
      <c r="S6" s="66">
        <v>1</v>
      </c>
      <c r="T6" s="60">
        <f t="shared" si="8"/>
        <v>21809.095557000001</v>
      </c>
      <c r="U6" s="60">
        <f t="shared" si="9"/>
        <v>213964.91046499999</v>
      </c>
      <c r="V6" s="60">
        <v>-5.31</v>
      </c>
      <c r="W6" s="60">
        <f t="shared" si="10"/>
        <v>235768.69602199999</v>
      </c>
      <c r="X6" s="21"/>
      <c r="Y6" s="21"/>
    </row>
    <row r="7" spans="1:25" ht="19.5" customHeight="1">
      <c r="A7" s="57" t="s">
        <v>5</v>
      </c>
      <c r="B7" s="57" t="s">
        <v>182</v>
      </c>
      <c r="C7" s="56" t="s">
        <v>84</v>
      </c>
      <c r="D7" s="57" t="s">
        <v>185</v>
      </c>
      <c r="E7" s="64">
        <v>4215.6096349999998</v>
      </c>
      <c r="F7" s="65">
        <v>10.59</v>
      </c>
      <c r="G7" s="60">
        <v>1096360.4731350001</v>
      </c>
      <c r="H7" s="60">
        <v>9046689.2891988829</v>
      </c>
      <c r="I7" s="60">
        <f t="shared" si="0"/>
        <v>10143049.762333883</v>
      </c>
      <c r="J7" s="60">
        <f t="shared" si="1"/>
        <v>2406.0694989691292</v>
      </c>
      <c r="K7" s="60">
        <v>10143049.76</v>
      </c>
      <c r="L7" s="60">
        <v>2406.069518391836</v>
      </c>
      <c r="M7" s="60">
        <f t="shared" si="2"/>
        <v>10143049.76</v>
      </c>
      <c r="N7" s="60">
        <f t="shared" si="3"/>
        <v>2406.0694984155002</v>
      </c>
      <c r="O7" s="60">
        <f t="shared" si="4"/>
        <v>222.56142860343377</v>
      </c>
      <c r="P7" s="60">
        <f t="shared" si="5"/>
        <v>2183.5080698120664</v>
      </c>
      <c r="Q7" s="60">
        <f t="shared" si="6"/>
        <v>938232.10279999999</v>
      </c>
      <c r="R7" s="60">
        <f t="shared" si="7"/>
        <v>9204817.6571999993</v>
      </c>
      <c r="S7" s="66">
        <v>1</v>
      </c>
      <c r="T7" s="60">
        <f t="shared" si="8"/>
        <v>938232.10279999999</v>
      </c>
      <c r="U7" s="60">
        <f t="shared" si="9"/>
        <v>9204817.6571999993</v>
      </c>
      <c r="V7" s="60">
        <v>0</v>
      </c>
      <c r="W7" s="60">
        <f t="shared" si="10"/>
        <v>10143049.76</v>
      </c>
      <c r="X7" s="21"/>
      <c r="Y7" s="21"/>
    </row>
    <row r="8" spans="1:25" ht="19.5" customHeight="1">
      <c r="A8" s="57" t="s">
        <v>5</v>
      </c>
      <c r="B8" s="57" t="s">
        <v>138</v>
      </c>
      <c r="C8" s="56" t="s">
        <v>64</v>
      </c>
      <c r="D8" s="57" t="s">
        <v>139</v>
      </c>
      <c r="E8" s="64">
        <v>1785.951339</v>
      </c>
      <c r="F8" s="65">
        <v>4.0570000000000004</v>
      </c>
      <c r="G8" s="60">
        <v>754298.83264499996</v>
      </c>
      <c r="H8" s="60">
        <v>3266196.8865943733</v>
      </c>
      <c r="I8" s="60">
        <f t="shared" si="0"/>
        <v>4020495.7192393732</v>
      </c>
      <c r="J8" s="60">
        <f t="shared" si="1"/>
        <v>2251.1787591539601</v>
      </c>
      <c r="K8" s="60">
        <v>4020495.72</v>
      </c>
      <c r="L8" s="60">
        <v>2251.1788087390737</v>
      </c>
      <c r="M8" s="60">
        <f t="shared" si="2"/>
        <v>4020495.7192393732</v>
      </c>
      <c r="N8" s="60">
        <f t="shared" si="3"/>
        <v>2251.1787591539601</v>
      </c>
      <c r="O8" s="60">
        <f t="shared" si="4"/>
        <v>208.23403522174129</v>
      </c>
      <c r="P8" s="60">
        <f t="shared" si="5"/>
        <v>2042.9447239322187</v>
      </c>
      <c r="Q8" s="60">
        <f t="shared" si="6"/>
        <v>371895.85402964201</v>
      </c>
      <c r="R8" s="60">
        <f t="shared" si="7"/>
        <v>3648599.86521</v>
      </c>
      <c r="S8" s="66">
        <v>1</v>
      </c>
      <c r="T8" s="60">
        <f t="shared" si="8"/>
        <v>371895.85402999999</v>
      </c>
      <c r="U8" s="60">
        <f t="shared" si="9"/>
        <v>3648599.86521</v>
      </c>
      <c r="V8" s="60">
        <v>0</v>
      </c>
      <c r="W8" s="60">
        <f t="shared" si="10"/>
        <v>4020495.71924</v>
      </c>
      <c r="X8" s="21"/>
      <c r="Y8" s="21"/>
    </row>
    <row r="9" spans="1:25" ht="19.5" customHeight="1">
      <c r="A9" s="57" t="s">
        <v>5</v>
      </c>
      <c r="B9" s="57" t="s">
        <v>182</v>
      </c>
      <c r="C9" s="56" t="s">
        <v>58</v>
      </c>
      <c r="D9" s="57" t="s">
        <v>186</v>
      </c>
      <c r="E9" s="64">
        <v>280.08124099999998</v>
      </c>
      <c r="F9" s="65">
        <v>1.4079999999999999</v>
      </c>
      <c r="G9" s="60">
        <v>343465.09194999997</v>
      </c>
      <c r="H9" s="60">
        <v>578467.16259206831</v>
      </c>
      <c r="I9" s="60">
        <f t="shared" si="0"/>
        <v>921932.25454206835</v>
      </c>
      <c r="J9" s="60">
        <f t="shared" si="1"/>
        <v>3291.6601313619158</v>
      </c>
      <c r="K9" s="60">
        <v>921932.25</v>
      </c>
      <c r="L9" s="60">
        <v>3291.6605969982988</v>
      </c>
      <c r="M9" s="60">
        <f t="shared" si="2"/>
        <v>921932.25</v>
      </c>
      <c r="N9" s="60">
        <f t="shared" si="3"/>
        <v>3291.6601151449486</v>
      </c>
      <c r="O9" s="60">
        <f t="shared" si="4"/>
        <v>304.47856065090775</v>
      </c>
      <c r="P9" s="60">
        <f t="shared" si="5"/>
        <v>2987.1815544940409</v>
      </c>
      <c r="Q9" s="60">
        <f t="shared" si="6"/>
        <v>85278.733124999999</v>
      </c>
      <c r="R9" s="60">
        <f t="shared" si="7"/>
        <v>836653.51687499997</v>
      </c>
      <c r="S9" s="66">
        <v>1</v>
      </c>
      <c r="T9" s="60">
        <f t="shared" si="8"/>
        <v>85278.733124999999</v>
      </c>
      <c r="U9" s="60">
        <f t="shared" si="9"/>
        <v>836653.51687499997</v>
      </c>
      <c r="V9" s="60">
        <v>-84.7</v>
      </c>
      <c r="W9" s="60">
        <f t="shared" si="10"/>
        <v>921847.55</v>
      </c>
      <c r="X9" s="21"/>
      <c r="Y9" s="21"/>
    </row>
    <row r="10" spans="1:25" ht="19.5" customHeight="1">
      <c r="A10" s="57" t="s">
        <v>5</v>
      </c>
      <c r="B10" s="57" t="s">
        <v>182</v>
      </c>
      <c r="C10" s="56" t="s">
        <v>112</v>
      </c>
      <c r="D10" s="57" t="s">
        <v>187</v>
      </c>
      <c r="E10" s="64">
        <v>2826.3463630000001</v>
      </c>
      <c r="F10" s="65">
        <v>9.5310000000000006</v>
      </c>
      <c r="G10" s="60">
        <v>983559.12645700003</v>
      </c>
      <c r="H10" s="60">
        <v>6098816.0984121095</v>
      </c>
      <c r="I10" s="60">
        <f t="shared" si="0"/>
        <v>7082375.2248691097</v>
      </c>
      <c r="J10" s="60">
        <f t="shared" si="1"/>
        <v>2505.8412222879811</v>
      </c>
      <c r="K10" s="60">
        <v>7082375.2199999997</v>
      </c>
      <c r="L10" s="60">
        <v>2505.8411877609906</v>
      </c>
      <c r="M10" s="60">
        <f t="shared" si="2"/>
        <v>7082375.2199999997</v>
      </c>
      <c r="N10" s="60">
        <f t="shared" si="3"/>
        <v>2505.841220565223</v>
      </c>
      <c r="O10" s="60">
        <f t="shared" si="4"/>
        <v>231.79031290228312</v>
      </c>
      <c r="P10" s="60">
        <f t="shared" si="5"/>
        <v>2274.0509076629401</v>
      </c>
      <c r="Q10" s="60">
        <f t="shared" si="6"/>
        <v>655119.70784999989</v>
      </c>
      <c r="R10" s="60">
        <f t="shared" si="7"/>
        <v>6427255.5121499998</v>
      </c>
      <c r="S10" s="66">
        <v>1</v>
      </c>
      <c r="T10" s="60">
        <f t="shared" si="8"/>
        <v>655119.70785000001</v>
      </c>
      <c r="U10" s="60">
        <f t="shared" si="9"/>
        <v>6427255.5121499998</v>
      </c>
      <c r="V10" s="60">
        <v>-2820.98</v>
      </c>
      <c r="W10" s="60">
        <f t="shared" si="10"/>
        <v>7079554.2399999993</v>
      </c>
      <c r="X10" s="21"/>
      <c r="Y10" s="21"/>
    </row>
    <row r="11" spans="1:25" ht="19.5" customHeight="1">
      <c r="A11" s="57" t="s">
        <v>5</v>
      </c>
      <c r="B11" s="57" t="s">
        <v>182</v>
      </c>
      <c r="C11" s="56" t="s">
        <v>145</v>
      </c>
      <c r="D11" s="57" t="s">
        <v>188</v>
      </c>
      <c r="E11" s="64">
        <v>1863.3117590000002</v>
      </c>
      <c r="F11" s="65">
        <v>6.3360000000000003</v>
      </c>
      <c r="G11" s="60">
        <v>620226.78162999998</v>
      </c>
      <c r="H11" s="60">
        <v>3764042.6866820119</v>
      </c>
      <c r="I11" s="60">
        <f t="shared" si="0"/>
        <v>4384269.468312012</v>
      </c>
      <c r="J11" s="60">
        <f t="shared" si="1"/>
        <v>2352.9446680811784</v>
      </c>
      <c r="K11" s="60">
        <v>6013504.54</v>
      </c>
      <c r="L11" s="60">
        <v>2252.3914584855743</v>
      </c>
      <c r="M11" s="60">
        <f t="shared" si="2"/>
        <v>4384269.468312012</v>
      </c>
      <c r="N11" s="60">
        <f t="shared" si="3"/>
        <v>2352.9446680811784</v>
      </c>
      <c r="O11" s="60">
        <f t="shared" si="4"/>
        <v>217.64738179750901</v>
      </c>
      <c r="P11" s="60">
        <f t="shared" si="5"/>
        <v>2135.2972862836696</v>
      </c>
      <c r="Q11" s="60">
        <f t="shared" si="6"/>
        <v>405544.92581886111</v>
      </c>
      <c r="R11" s="60">
        <f t="shared" si="7"/>
        <v>3978724.5424930002</v>
      </c>
      <c r="S11" s="66">
        <v>1</v>
      </c>
      <c r="T11" s="60">
        <f t="shared" si="8"/>
        <v>405544.925819</v>
      </c>
      <c r="U11" s="60">
        <f t="shared" si="9"/>
        <v>3978724.5424930002</v>
      </c>
      <c r="V11" s="60">
        <v>0</v>
      </c>
      <c r="W11" s="60">
        <f t="shared" si="10"/>
        <v>4384269.4683119999</v>
      </c>
      <c r="X11" s="21"/>
      <c r="Y11" s="21"/>
    </row>
    <row r="12" spans="1:25" ht="19.5" customHeight="1">
      <c r="A12" s="57" t="s">
        <v>5</v>
      </c>
      <c r="B12" s="57" t="s">
        <v>182</v>
      </c>
      <c r="C12" s="56" t="s">
        <v>157</v>
      </c>
      <c r="D12" s="57" t="s">
        <v>189</v>
      </c>
      <c r="E12" s="64">
        <v>852.44493599999998</v>
      </c>
      <c r="F12" s="65">
        <v>2.8159999999999998</v>
      </c>
      <c r="G12" s="60">
        <v>405132.68705399998</v>
      </c>
      <c r="H12" s="60">
        <v>1800454.0795225005</v>
      </c>
      <c r="I12" s="60">
        <f t="shared" si="0"/>
        <v>2205586.7665765006</v>
      </c>
      <c r="J12" s="60">
        <f t="shared" si="1"/>
        <v>2587.365674228723</v>
      </c>
      <c r="K12" s="60">
        <v>2205586.77</v>
      </c>
      <c r="L12" s="60">
        <v>2587.3657875130698</v>
      </c>
      <c r="M12" s="60">
        <f t="shared" si="2"/>
        <v>2205586.7665765006</v>
      </c>
      <c r="N12" s="60">
        <f t="shared" si="3"/>
        <v>2587.365674228723</v>
      </c>
      <c r="O12" s="60">
        <f t="shared" si="4"/>
        <v>239.33132486615688</v>
      </c>
      <c r="P12" s="60">
        <f t="shared" si="5"/>
        <v>2348.034349362566</v>
      </c>
      <c r="Q12" s="60">
        <f t="shared" si="6"/>
        <v>204016.77590832629</v>
      </c>
      <c r="R12" s="60">
        <f t="shared" si="7"/>
        <v>2001569.990668</v>
      </c>
      <c r="S12" s="66">
        <v>1</v>
      </c>
      <c r="T12" s="60">
        <f t="shared" si="8"/>
        <v>204016.77590800001</v>
      </c>
      <c r="U12" s="60">
        <f t="shared" si="9"/>
        <v>2001569.990668</v>
      </c>
      <c r="V12" s="60">
        <v>0</v>
      </c>
      <c r="W12" s="60">
        <f t="shared" si="10"/>
        <v>2205586.766576</v>
      </c>
      <c r="X12" s="21"/>
      <c r="Y12" s="21"/>
    </row>
    <row r="13" spans="1:25" ht="19.5" customHeight="1">
      <c r="A13" s="57" t="s">
        <v>5</v>
      </c>
      <c r="B13" s="57" t="s">
        <v>182</v>
      </c>
      <c r="C13" s="56" t="s">
        <v>146</v>
      </c>
      <c r="D13" s="57" t="s">
        <v>190</v>
      </c>
      <c r="E13" s="64">
        <v>50.138582</v>
      </c>
      <c r="F13" s="65">
        <v>0.89100000000000001</v>
      </c>
      <c r="G13" s="60">
        <v>292725.93066999997</v>
      </c>
      <c r="H13" s="60">
        <v>104224.2896111399</v>
      </c>
      <c r="I13" s="60">
        <f t="shared" si="0"/>
        <v>396950.22028113989</v>
      </c>
      <c r="J13" s="60">
        <f t="shared" si="1"/>
        <v>7917.0611622231336</v>
      </c>
      <c r="K13" s="60">
        <v>396498.22</v>
      </c>
      <c r="L13" s="60">
        <v>7942.497661309545</v>
      </c>
      <c r="M13" s="60">
        <f t="shared" si="2"/>
        <v>396498.22</v>
      </c>
      <c r="N13" s="60">
        <f t="shared" si="3"/>
        <v>7908.046142988248</v>
      </c>
      <c r="O13" s="60">
        <f t="shared" si="4"/>
        <v>731.49426822641294</v>
      </c>
      <c r="P13" s="60">
        <f t="shared" si="5"/>
        <v>7176.5518747618353</v>
      </c>
      <c r="Q13" s="60">
        <f t="shared" si="6"/>
        <v>36676.085350000001</v>
      </c>
      <c r="R13" s="60">
        <f t="shared" si="7"/>
        <v>359822.13465000002</v>
      </c>
      <c r="S13" s="66">
        <v>1</v>
      </c>
      <c r="T13" s="60">
        <f t="shared" si="8"/>
        <v>36676.085350000001</v>
      </c>
      <c r="U13" s="60">
        <f t="shared" si="9"/>
        <v>359822.13465000002</v>
      </c>
      <c r="V13" s="60">
        <v>0</v>
      </c>
      <c r="W13" s="60">
        <f t="shared" si="10"/>
        <v>396498.22000000003</v>
      </c>
      <c r="X13" s="21"/>
      <c r="Y13" s="21"/>
    </row>
    <row r="14" spans="1:25" ht="19.5" customHeight="1">
      <c r="A14" s="57" t="s">
        <v>5</v>
      </c>
      <c r="B14" s="57" t="s">
        <v>182</v>
      </c>
      <c r="C14" s="56" t="s">
        <v>147</v>
      </c>
      <c r="D14" s="57" t="s">
        <v>191</v>
      </c>
      <c r="E14" s="64">
        <v>761.00561500000003</v>
      </c>
      <c r="F14" s="65">
        <v>3.1680000000000001</v>
      </c>
      <c r="G14" s="60">
        <v>386398.228107</v>
      </c>
      <c r="H14" s="60">
        <v>1566409.3045531451</v>
      </c>
      <c r="I14" s="60">
        <f t="shared" si="0"/>
        <v>1952807.5326601451</v>
      </c>
      <c r="J14" s="60">
        <f t="shared" si="1"/>
        <v>2566.0882050918181</v>
      </c>
      <c r="K14" s="60">
        <v>1949208.64</v>
      </c>
      <c r="L14" s="60">
        <v>2567.2570286778932</v>
      </c>
      <c r="M14" s="60">
        <f t="shared" si="2"/>
        <v>1949208.64</v>
      </c>
      <c r="N14" s="60">
        <f t="shared" si="3"/>
        <v>2561.3590774885411</v>
      </c>
      <c r="O14" s="60">
        <f t="shared" si="4"/>
        <v>236.92571466769004</v>
      </c>
      <c r="P14" s="60">
        <f t="shared" si="5"/>
        <v>2324.433362820851</v>
      </c>
      <c r="Q14" s="60">
        <f t="shared" si="6"/>
        <v>180301.79919999998</v>
      </c>
      <c r="R14" s="60">
        <f t="shared" si="7"/>
        <v>1768906.8407999999</v>
      </c>
      <c r="S14" s="66">
        <v>1</v>
      </c>
      <c r="T14" s="60">
        <f t="shared" si="8"/>
        <v>180301.79920000001</v>
      </c>
      <c r="U14" s="60">
        <f t="shared" si="9"/>
        <v>1768906.8407999999</v>
      </c>
      <c r="V14" s="60">
        <v>-115.18</v>
      </c>
      <c r="W14" s="60">
        <f t="shared" si="10"/>
        <v>1949093.46</v>
      </c>
      <c r="X14" s="21"/>
      <c r="Y14" s="21"/>
    </row>
    <row r="15" spans="1:25" ht="19.5" customHeight="1">
      <c r="A15" s="57" t="s">
        <v>5</v>
      </c>
      <c r="B15" s="57" t="s">
        <v>182</v>
      </c>
      <c r="C15" s="56" t="s">
        <v>178</v>
      </c>
      <c r="D15" s="57" t="s">
        <v>192</v>
      </c>
      <c r="E15" s="64">
        <v>2616.6098999999999</v>
      </c>
      <c r="F15" s="65">
        <v>5.984</v>
      </c>
      <c r="G15" s="60">
        <v>732212.17270300002</v>
      </c>
      <c r="H15" s="60">
        <v>5292759.4970031129</v>
      </c>
      <c r="I15" s="60">
        <f t="shared" si="0"/>
        <v>6024971.6697061127</v>
      </c>
      <c r="J15" s="60">
        <f t="shared" si="1"/>
        <v>2302.5868967728484</v>
      </c>
      <c r="K15" s="60">
        <v>6024971.6699999999</v>
      </c>
      <c r="L15" s="60">
        <v>2302.5868968851642</v>
      </c>
      <c r="M15" s="60">
        <f t="shared" si="2"/>
        <v>6024971.6697061127</v>
      </c>
      <c r="N15" s="60">
        <f t="shared" si="3"/>
        <v>2302.5868967728484</v>
      </c>
      <c r="O15" s="60">
        <f t="shared" si="4"/>
        <v>212.98928795148848</v>
      </c>
      <c r="P15" s="60">
        <f t="shared" si="5"/>
        <v>2089.5976088213597</v>
      </c>
      <c r="Q15" s="60">
        <f t="shared" si="6"/>
        <v>557309.87944781547</v>
      </c>
      <c r="R15" s="60">
        <f t="shared" si="7"/>
        <v>5467661.7902579997</v>
      </c>
      <c r="S15" s="66">
        <v>1</v>
      </c>
      <c r="T15" s="60">
        <f t="shared" si="8"/>
        <v>557309.87944799999</v>
      </c>
      <c r="U15" s="60">
        <f t="shared" si="9"/>
        <v>5467661.7902579997</v>
      </c>
      <c r="V15" s="60">
        <v>-193.46</v>
      </c>
      <c r="W15" s="60">
        <f t="shared" si="10"/>
        <v>6024778.2097060001</v>
      </c>
      <c r="X15" s="21"/>
      <c r="Y15" s="21"/>
    </row>
    <row r="16" spans="1:25" ht="19.5" customHeight="1">
      <c r="A16" s="57" t="s">
        <v>5</v>
      </c>
      <c r="B16" s="57" t="s">
        <v>182</v>
      </c>
      <c r="C16" s="56" t="s">
        <v>158</v>
      </c>
      <c r="D16" s="57" t="s">
        <v>193</v>
      </c>
      <c r="E16" s="64">
        <v>1171.9286470000002</v>
      </c>
      <c r="F16" s="65">
        <v>2.464</v>
      </c>
      <c r="G16" s="60">
        <v>601063.91023799998</v>
      </c>
      <c r="H16" s="60">
        <v>2410696.3602661001</v>
      </c>
      <c r="I16" s="60">
        <f t="shared" si="0"/>
        <v>3011760.2705041002</v>
      </c>
      <c r="J16" s="60">
        <f t="shared" si="1"/>
        <v>2569.9177831464854</v>
      </c>
      <c r="K16" s="60">
        <v>3011760.27</v>
      </c>
      <c r="L16" s="60">
        <v>2569.9178857824618</v>
      </c>
      <c r="M16" s="60">
        <f t="shared" si="2"/>
        <v>3011760.27</v>
      </c>
      <c r="N16" s="60">
        <f t="shared" si="3"/>
        <v>2569.9177827163394</v>
      </c>
      <c r="O16" s="60">
        <f t="shared" si="4"/>
        <v>237.7173949012614</v>
      </c>
      <c r="P16" s="60">
        <f t="shared" si="5"/>
        <v>2332.2003878150781</v>
      </c>
      <c r="Q16" s="60">
        <f t="shared" si="6"/>
        <v>278587.824975</v>
      </c>
      <c r="R16" s="60">
        <f t="shared" si="7"/>
        <v>2733172.4450249998</v>
      </c>
      <c r="S16" s="66">
        <v>1</v>
      </c>
      <c r="T16" s="60">
        <f t="shared" si="8"/>
        <v>278587.824975</v>
      </c>
      <c r="U16" s="60">
        <f t="shared" si="9"/>
        <v>2733172.4450249998</v>
      </c>
      <c r="V16" s="60">
        <v>-1356.94</v>
      </c>
      <c r="W16" s="60">
        <f t="shared" si="10"/>
        <v>3010403.3299999996</v>
      </c>
      <c r="X16" s="21"/>
      <c r="Y16" s="21"/>
    </row>
    <row r="17" spans="1:25" ht="19.5" customHeight="1">
      <c r="A17" s="57" t="s">
        <v>5</v>
      </c>
      <c r="B17" s="57" t="s">
        <v>182</v>
      </c>
      <c r="C17" s="56" t="s">
        <v>113</v>
      </c>
      <c r="D17" s="57" t="s">
        <v>194</v>
      </c>
      <c r="E17" s="64">
        <v>1263.507016</v>
      </c>
      <c r="F17" s="65">
        <v>4.2240000000000002</v>
      </c>
      <c r="G17" s="60">
        <v>515197.63792499999</v>
      </c>
      <c r="H17" s="60">
        <v>2590497.422140013</v>
      </c>
      <c r="I17" s="60">
        <f t="shared" si="0"/>
        <v>3105695.0600650129</v>
      </c>
      <c r="J17" s="60">
        <f t="shared" si="1"/>
        <v>2457.9958961343932</v>
      </c>
      <c r="K17" s="60">
        <v>3105695.06</v>
      </c>
      <c r="L17" s="60">
        <v>2457.9959272089509</v>
      </c>
      <c r="M17" s="60">
        <f t="shared" si="2"/>
        <v>3105695.06</v>
      </c>
      <c r="N17" s="60">
        <f t="shared" si="3"/>
        <v>2457.9958960829385</v>
      </c>
      <c r="O17" s="60">
        <f t="shared" si="4"/>
        <v>227.36462038767181</v>
      </c>
      <c r="P17" s="60">
        <f t="shared" si="5"/>
        <v>2230.6312756952666</v>
      </c>
      <c r="Q17" s="60">
        <f t="shared" si="6"/>
        <v>287276.79304999998</v>
      </c>
      <c r="R17" s="60">
        <f t="shared" si="7"/>
        <v>2818418.2669500001</v>
      </c>
      <c r="S17" s="66">
        <v>1</v>
      </c>
      <c r="T17" s="60">
        <f t="shared" si="8"/>
        <v>287276.79304999998</v>
      </c>
      <c r="U17" s="60">
        <f t="shared" si="9"/>
        <v>2818418.2669500001</v>
      </c>
      <c r="V17" s="60">
        <v>-86.36</v>
      </c>
      <c r="W17" s="60">
        <f t="shared" si="10"/>
        <v>3105608.7</v>
      </c>
      <c r="X17" s="21"/>
      <c r="Y17" s="21"/>
    </row>
    <row r="18" spans="1:25" ht="19.5" customHeight="1">
      <c r="A18" s="57" t="s">
        <v>5</v>
      </c>
      <c r="B18" s="57" t="s">
        <v>182</v>
      </c>
      <c r="C18" s="56" t="s">
        <v>85</v>
      </c>
      <c r="D18" s="57" t="s">
        <v>195</v>
      </c>
      <c r="E18" s="64">
        <v>74.170457999999996</v>
      </c>
      <c r="F18" s="65">
        <v>0.89100000000000001</v>
      </c>
      <c r="G18" s="60">
        <v>292725.93066999997</v>
      </c>
      <c r="H18" s="60">
        <v>152362.59996496676</v>
      </c>
      <c r="I18" s="60">
        <f t="shared" si="0"/>
        <v>445088.53063496674</v>
      </c>
      <c r="J18" s="60">
        <f t="shared" si="1"/>
        <v>6000.8869115378357</v>
      </c>
      <c r="K18" s="60">
        <v>445088.53</v>
      </c>
      <c r="L18" s="60">
        <v>6000.8835048974997</v>
      </c>
      <c r="M18" s="60">
        <f t="shared" si="2"/>
        <v>445088.53</v>
      </c>
      <c r="N18" s="60">
        <f t="shared" si="3"/>
        <v>6000.8869029769248</v>
      </c>
      <c r="O18" s="60">
        <f t="shared" si="4"/>
        <v>555.08203852536553</v>
      </c>
      <c r="P18" s="60">
        <f t="shared" si="5"/>
        <v>5445.8048644515593</v>
      </c>
      <c r="Q18" s="60">
        <f t="shared" si="6"/>
        <v>41170.689025000007</v>
      </c>
      <c r="R18" s="60">
        <f t="shared" si="7"/>
        <v>403917.840975</v>
      </c>
      <c r="S18" s="66">
        <v>1</v>
      </c>
      <c r="T18" s="60">
        <f t="shared" si="8"/>
        <v>41170.689025</v>
      </c>
      <c r="U18" s="60">
        <f t="shared" si="9"/>
        <v>403917.840975</v>
      </c>
      <c r="V18" s="60">
        <v>-325.48</v>
      </c>
      <c r="W18" s="60">
        <f t="shared" si="10"/>
        <v>444763.05000000005</v>
      </c>
      <c r="X18" s="21"/>
      <c r="Y18" s="21"/>
    </row>
    <row r="19" spans="1:25" ht="19.5" customHeight="1">
      <c r="A19" s="57" t="s">
        <v>5</v>
      </c>
      <c r="B19" s="57" t="s">
        <v>182</v>
      </c>
      <c r="C19" s="56" t="s">
        <v>159</v>
      </c>
      <c r="D19" s="57" t="s">
        <v>196</v>
      </c>
      <c r="E19" s="64">
        <v>1596.9385810000001</v>
      </c>
      <c r="F19" s="65">
        <v>4.9279999999999999</v>
      </c>
      <c r="G19" s="60">
        <v>602998.26002799999</v>
      </c>
      <c r="H19" s="60">
        <v>3255459.6632575765</v>
      </c>
      <c r="I19" s="60">
        <f t="shared" si="0"/>
        <v>3858457.9232855765</v>
      </c>
      <c r="J19" s="60">
        <f t="shared" si="1"/>
        <v>2416.1592494492911</v>
      </c>
      <c r="K19" s="60">
        <v>3858457.91</v>
      </c>
      <c r="L19" s="60">
        <v>2416.1592123829937</v>
      </c>
      <c r="M19" s="60">
        <f t="shared" si="2"/>
        <v>3858457.91</v>
      </c>
      <c r="N19" s="60">
        <f t="shared" si="3"/>
        <v>2416.159241129888</v>
      </c>
      <c r="O19" s="60">
        <f t="shared" si="4"/>
        <v>223.49472980451463</v>
      </c>
      <c r="P19" s="60">
        <f t="shared" si="5"/>
        <v>2192.6645113253735</v>
      </c>
      <c r="Q19" s="60">
        <f t="shared" si="6"/>
        <v>356907.35667500005</v>
      </c>
      <c r="R19" s="60">
        <f t="shared" si="7"/>
        <v>3501550.5533250002</v>
      </c>
      <c r="S19" s="66">
        <v>1</v>
      </c>
      <c r="T19" s="60">
        <f t="shared" si="8"/>
        <v>356907.35667499999</v>
      </c>
      <c r="U19" s="60">
        <f t="shared" si="9"/>
        <v>3501550.5533250002</v>
      </c>
      <c r="V19" s="60">
        <v>-458.3</v>
      </c>
      <c r="W19" s="60">
        <f t="shared" si="10"/>
        <v>3857999.6100000003</v>
      </c>
      <c r="X19" s="21"/>
      <c r="Y19" s="21"/>
    </row>
    <row r="20" spans="1:25" ht="19.5" customHeight="1">
      <c r="A20" s="57" t="s">
        <v>5</v>
      </c>
      <c r="B20" s="57" t="s">
        <v>182</v>
      </c>
      <c r="C20" s="56" t="s">
        <v>114</v>
      </c>
      <c r="D20" s="57" t="s">
        <v>197</v>
      </c>
      <c r="E20" s="64">
        <v>7695.9447130000008</v>
      </c>
      <c r="F20" s="65">
        <v>19.062000000000001</v>
      </c>
      <c r="G20" s="60">
        <v>1973448.851118</v>
      </c>
      <c r="H20" s="60">
        <v>16439808.798693143</v>
      </c>
      <c r="I20" s="60">
        <f t="shared" si="0"/>
        <v>18413257.649811141</v>
      </c>
      <c r="J20" s="60">
        <f t="shared" si="1"/>
        <v>2392.5922464993077</v>
      </c>
      <c r="K20" s="60">
        <v>18413257.649999999</v>
      </c>
      <c r="L20" s="60">
        <v>2392.5922505654175</v>
      </c>
      <c r="M20" s="60">
        <f t="shared" si="2"/>
        <v>18413257.649811141</v>
      </c>
      <c r="N20" s="60">
        <f t="shared" si="3"/>
        <v>2392.5922464993077</v>
      </c>
      <c r="O20" s="60">
        <f t="shared" si="4"/>
        <v>221.31478280118597</v>
      </c>
      <c r="P20" s="60">
        <f t="shared" si="5"/>
        <v>2171.2774636981217</v>
      </c>
      <c r="Q20" s="60">
        <f t="shared" si="6"/>
        <v>1703226.3326075308</v>
      </c>
      <c r="R20" s="60">
        <f t="shared" si="7"/>
        <v>16710031.317204</v>
      </c>
      <c r="S20" s="66">
        <v>1</v>
      </c>
      <c r="T20" s="60">
        <f t="shared" si="8"/>
        <v>1703226.3326079999</v>
      </c>
      <c r="U20" s="60">
        <f t="shared" si="9"/>
        <v>16710031.317204</v>
      </c>
      <c r="V20" s="60">
        <v>-2110.08</v>
      </c>
      <c r="W20" s="60">
        <f t="shared" si="10"/>
        <v>18411147.569812004</v>
      </c>
      <c r="X20" s="21"/>
      <c r="Y20" s="21"/>
    </row>
    <row r="21" spans="1:25" ht="19.5" customHeight="1">
      <c r="A21" s="57" t="s">
        <v>5</v>
      </c>
      <c r="B21" s="57" t="s">
        <v>182</v>
      </c>
      <c r="C21" s="56" t="s">
        <v>61</v>
      </c>
      <c r="D21" s="57" t="s">
        <v>198</v>
      </c>
      <c r="E21" s="64">
        <v>10957.84755</v>
      </c>
      <c r="F21" s="65">
        <v>29.652000000000001</v>
      </c>
      <c r="G21" s="60">
        <v>3059961.7257059999</v>
      </c>
      <c r="H21" s="60">
        <v>23281799.372914355</v>
      </c>
      <c r="I21" s="60">
        <f t="shared" si="0"/>
        <v>26341761.098620355</v>
      </c>
      <c r="J21" s="60">
        <f t="shared" si="1"/>
        <v>2403.9174644860209</v>
      </c>
      <c r="K21" s="60">
        <v>26341761.109999999</v>
      </c>
      <c r="L21" s="60">
        <v>2403.9174545555829</v>
      </c>
      <c r="M21" s="60">
        <f t="shared" si="2"/>
        <v>26341761.098620355</v>
      </c>
      <c r="N21" s="60">
        <f t="shared" si="3"/>
        <v>2403.9174644860209</v>
      </c>
      <c r="O21" s="60">
        <f t="shared" si="4"/>
        <v>222.36236546495692</v>
      </c>
      <c r="P21" s="60">
        <f t="shared" si="5"/>
        <v>2181.5550990210641</v>
      </c>
      <c r="Q21" s="60">
        <f t="shared" si="6"/>
        <v>2436612.9016223829</v>
      </c>
      <c r="R21" s="60">
        <f t="shared" si="7"/>
        <v>23905148.196998</v>
      </c>
      <c r="S21" s="66">
        <v>1</v>
      </c>
      <c r="T21" s="60">
        <f t="shared" si="8"/>
        <v>2436612.9016220002</v>
      </c>
      <c r="U21" s="60">
        <f t="shared" si="9"/>
        <v>23905148.196998</v>
      </c>
      <c r="V21" s="60">
        <v>0</v>
      </c>
      <c r="W21" s="60">
        <f t="shared" si="10"/>
        <v>26341761.098620001</v>
      </c>
      <c r="X21" s="21"/>
      <c r="Y21" s="21"/>
    </row>
    <row r="22" spans="1:25" ht="19.5" customHeight="1">
      <c r="A22" s="57" t="s">
        <v>5</v>
      </c>
      <c r="B22" s="57" t="s">
        <v>182</v>
      </c>
      <c r="C22" s="56" t="s">
        <v>69</v>
      </c>
      <c r="D22" s="57" t="s">
        <v>199</v>
      </c>
      <c r="E22" s="64">
        <v>1547.247723</v>
      </c>
      <c r="F22" s="65">
        <v>4.2240000000000002</v>
      </c>
      <c r="G22" s="60">
        <v>515197.63792499999</v>
      </c>
      <c r="H22" s="60">
        <v>3165309.3584798248</v>
      </c>
      <c r="I22" s="60">
        <f t="shared" si="0"/>
        <v>3680506.9964048248</v>
      </c>
      <c r="J22" s="60">
        <f t="shared" si="1"/>
        <v>2378.7444904223812</v>
      </c>
      <c r="K22" s="60">
        <v>3680506.99</v>
      </c>
      <c r="L22" s="60">
        <v>2378.7445216431734</v>
      </c>
      <c r="M22" s="60">
        <f t="shared" si="2"/>
        <v>3680506.99</v>
      </c>
      <c r="N22" s="60">
        <f t="shared" si="3"/>
        <v>2378.7444862828861</v>
      </c>
      <c r="O22" s="60">
        <f t="shared" si="4"/>
        <v>220.03386498116697</v>
      </c>
      <c r="P22" s="60">
        <f t="shared" si="5"/>
        <v>2158.7106213017191</v>
      </c>
      <c r="Q22" s="60">
        <f t="shared" si="6"/>
        <v>340446.89657500002</v>
      </c>
      <c r="R22" s="60">
        <f t="shared" si="7"/>
        <v>3340060.0934250001</v>
      </c>
      <c r="S22" s="66">
        <v>1</v>
      </c>
      <c r="T22" s="60">
        <f t="shared" si="8"/>
        <v>340446.89657500002</v>
      </c>
      <c r="U22" s="60">
        <f t="shared" si="9"/>
        <v>3340060.0934250001</v>
      </c>
      <c r="V22" s="60">
        <v>-448.5</v>
      </c>
      <c r="W22" s="60">
        <f t="shared" si="10"/>
        <v>3680058.49</v>
      </c>
      <c r="X22" s="21"/>
      <c r="Y22" s="21"/>
    </row>
    <row r="23" spans="1:25" ht="19.5" customHeight="1">
      <c r="A23" s="57" t="s">
        <v>5</v>
      </c>
      <c r="B23" s="57" t="s">
        <v>138</v>
      </c>
      <c r="C23" s="56" t="s">
        <v>86</v>
      </c>
      <c r="D23" s="57" t="s">
        <v>87</v>
      </c>
      <c r="E23" s="64">
        <v>94.350482</v>
      </c>
      <c r="F23" s="65">
        <v>0.91900000000000004</v>
      </c>
      <c r="G23" s="60">
        <v>6500.3711309999999</v>
      </c>
      <c r="H23" s="60">
        <v>216288.42982237076</v>
      </c>
      <c r="I23" s="60">
        <f t="shared" si="0"/>
        <v>222788.80095337075</v>
      </c>
      <c r="J23" s="60">
        <f t="shared" si="1"/>
        <v>2361.2894839622627</v>
      </c>
      <c r="K23" s="60">
        <v>222788.8</v>
      </c>
      <c r="L23" s="60">
        <v>2361.2890233756048</v>
      </c>
      <c r="M23" s="60">
        <f t="shared" si="2"/>
        <v>222788.8</v>
      </c>
      <c r="N23" s="60">
        <f t="shared" si="3"/>
        <v>2361.2894738576956</v>
      </c>
      <c r="O23" s="60">
        <f t="shared" si="4"/>
        <v>218.41927633183684</v>
      </c>
      <c r="P23" s="60">
        <f t="shared" si="5"/>
        <v>2142.8701975258587</v>
      </c>
      <c r="Q23" s="60">
        <f t="shared" si="6"/>
        <v>20607.963999999996</v>
      </c>
      <c r="R23" s="60">
        <f t="shared" si="7"/>
        <v>202180.83600000001</v>
      </c>
      <c r="S23" s="66">
        <v>1</v>
      </c>
      <c r="T23" s="60">
        <f t="shared" si="8"/>
        <v>20607.964</v>
      </c>
      <c r="U23" s="60">
        <f t="shared" si="9"/>
        <v>202180.83600000001</v>
      </c>
      <c r="V23" s="60">
        <v>0</v>
      </c>
      <c r="W23" s="60">
        <f t="shared" si="10"/>
        <v>222788.80000000002</v>
      </c>
      <c r="X23" s="21"/>
      <c r="Y23" s="21"/>
    </row>
    <row r="24" spans="1:25" ht="19.5" customHeight="1">
      <c r="A24" s="57" t="s">
        <v>5</v>
      </c>
      <c r="B24" s="57" t="s">
        <v>138</v>
      </c>
      <c r="C24" s="56" t="s">
        <v>88</v>
      </c>
      <c r="D24" s="57" t="s">
        <v>89</v>
      </c>
      <c r="E24" s="64">
        <v>141.88337799999999</v>
      </c>
      <c r="F24" s="65">
        <v>0.53700000000000003</v>
      </c>
      <c r="G24" s="60">
        <v>21670.808348999999</v>
      </c>
      <c r="H24" s="60">
        <v>328760.7314851855</v>
      </c>
      <c r="I24" s="60">
        <f t="shared" si="0"/>
        <v>350431.5398341855</v>
      </c>
      <c r="J24" s="60">
        <f t="shared" si="1"/>
        <v>2469.8561929797411</v>
      </c>
      <c r="K24" s="60">
        <v>350431.54</v>
      </c>
      <c r="L24" s="60">
        <v>2469.9149985903578</v>
      </c>
      <c r="M24" s="60">
        <f t="shared" si="2"/>
        <v>350431.5398341855</v>
      </c>
      <c r="N24" s="60">
        <f t="shared" si="3"/>
        <v>2469.8561929797411</v>
      </c>
      <c r="O24" s="60">
        <f t="shared" si="4"/>
        <v>228.46169785062605</v>
      </c>
      <c r="P24" s="60">
        <f t="shared" si="5"/>
        <v>2241.3944951291151</v>
      </c>
      <c r="Q24" s="60">
        <f t="shared" si="6"/>
        <v>32414.917434662162</v>
      </c>
      <c r="R24" s="60">
        <f t="shared" si="7"/>
        <v>318016.62239999999</v>
      </c>
      <c r="S24" s="66">
        <v>1</v>
      </c>
      <c r="T24" s="60">
        <f t="shared" si="8"/>
        <v>32414.917434999999</v>
      </c>
      <c r="U24" s="60">
        <f t="shared" si="9"/>
        <v>318016.62239999999</v>
      </c>
      <c r="V24" s="60">
        <v>-9.92</v>
      </c>
      <c r="W24" s="60">
        <f t="shared" si="10"/>
        <v>350421.61983500002</v>
      </c>
      <c r="X24" s="21"/>
      <c r="Y24" s="21"/>
    </row>
    <row r="25" spans="1:25" ht="19.5" customHeight="1">
      <c r="A25" s="57" t="s">
        <v>5</v>
      </c>
      <c r="B25" s="57" t="s">
        <v>144</v>
      </c>
      <c r="C25" s="56" t="s">
        <v>90</v>
      </c>
      <c r="D25" s="57" t="s">
        <v>160</v>
      </c>
      <c r="E25" s="64">
        <v>3984.0242130000001</v>
      </c>
      <c r="F25" s="65">
        <v>11.066000000000001</v>
      </c>
      <c r="G25" s="60">
        <v>286652.80715399998</v>
      </c>
      <c r="H25" s="60">
        <v>8239564.0047582574</v>
      </c>
      <c r="I25" s="60">
        <f t="shared" si="0"/>
        <v>8526216.8119122572</v>
      </c>
      <c r="J25" s="60">
        <f t="shared" si="1"/>
        <v>2140.1016550278323</v>
      </c>
      <c r="K25" s="60">
        <v>8526216.8100000005</v>
      </c>
      <c r="L25" s="60">
        <v>2140.1039176510158</v>
      </c>
      <c r="M25" s="60">
        <f t="shared" si="2"/>
        <v>8526216.8100000005</v>
      </c>
      <c r="N25" s="60">
        <f t="shared" si="3"/>
        <v>2140.101654547851</v>
      </c>
      <c r="O25" s="60">
        <f t="shared" si="4"/>
        <v>197.95940304567623</v>
      </c>
      <c r="P25" s="60">
        <f t="shared" si="5"/>
        <v>1942.1422515021748</v>
      </c>
      <c r="Q25" s="60">
        <f t="shared" si="6"/>
        <v>788675.05492500006</v>
      </c>
      <c r="R25" s="60">
        <f t="shared" si="7"/>
        <v>7737541.7550750002</v>
      </c>
      <c r="S25" s="66">
        <v>1</v>
      </c>
      <c r="T25" s="60">
        <f t="shared" si="8"/>
        <v>788675.05492499995</v>
      </c>
      <c r="U25" s="60">
        <f t="shared" si="9"/>
        <v>7737541.7550750002</v>
      </c>
      <c r="V25" s="60">
        <v>-2423.71</v>
      </c>
      <c r="W25" s="60">
        <f t="shared" si="10"/>
        <v>8523793.0999999996</v>
      </c>
      <c r="X25" s="21"/>
      <c r="Y25" s="21"/>
    </row>
    <row r="26" spans="1:25" ht="19.5" customHeight="1">
      <c r="A26" s="57" t="s">
        <v>5</v>
      </c>
      <c r="B26" s="57" t="s">
        <v>138</v>
      </c>
      <c r="C26" s="56" t="s">
        <v>115</v>
      </c>
      <c r="D26" s="57" t="s">
        <v>116</v>
      </c>
      <c r="E26" s="64">
        <v>1701.1122800000001</v>
      </c>
      <c r="F26" s="65">
        <v>10.614000000000001</v>
      </c>
      <c r="G26" s="60">
        <v>1377451.8428140001</v>
      </c>
      <c r="H26" s="60">
        <v>3126134.286551699</v>
      </c>
      <c r="I26" s="60">
        <f t="shared" si="0"/>
        <v>4503586.1293656994</v>
      </c>
      <c r="J26" s="60">
        <f t="shared" si="1"/>
        <v>2647.4361406442254</v>
      </c>
      <c r="K26" s="60">
        <v>4503586.13</v>
      </c>
      <c r="L26" s="60">
        <v>2647.4361098911577</v>
      </c>
      <c r="M26" s="60">
        <f t="shared" si="2"/>
        <v>4503586.1293656994</v>
      </c>
      <c r="N26" s="60">
        <f t="shared" si="3"/>
        <v>2647.4361406442254</v>
      </c>
      <c r="O26" s="60">
        <f t="shared" si="4"/>
        <v>244.88784300959085</v>
      </c>
      <c r="P26" s="60">
        <f t="shared" si="5"/>
        <v>2402.5482976346343</v>
      </c>
      <c r="Q26" s="60">
        <f t="shared" si="6"/>
        <v>416581.71696632716</v>
      </c>
      <c r="R26" s="60">
        <f t="shared" si="7"/>
        <v>4087004.412399</v>
      </c>
      <c r="S26" s="66">
        <v>1</v>
      </c>
      <c r="T26" s="60">
        <f t="shared" si="8"/>
        <v>416581.71696599998</v>
      </c>
      <c r="U26" s="60">
        <f t="shared" si="9"/>
        <v>4087004.412399</v>
      </c>
      <c r="V26" s="60">
        <v>0</v>
      </c>
      <c r="W26" s="60">
        <f t="shared" si="10"/>
        <v>4503586.1293649999</v>
      </c>
      <c r="X26" s="21"/>
      <c r="Y26" s="21"/>
    </row>
    <row r="27" spans="1:25" ht="19.5" customHeight="1">
      <c r="A27" s="57" t="s">
        <v>5</v>
      </c>
      <c r="B27" s="57" t="s">
        <v>138</v>
      </c>
      <c r="C27" s="56" t="s">
        <v>117</v>
      </c>
      <c r="D27" s="57" t="s">
        <v>118</v>
      </c>
      <c r="E27" s="64">
        <v>2531.7557000000002</v>
      </c>
      <c r="F27" s="65">
        <v>5.032</v>
      </c>
      <c r="G27" s="60">
        <v>1139561.344364</v>
      </c>
      <c r="H27" s="60">
        <v>4618604.1781977294</v>
      </c>
      <c r="I27" s="60">
        <f t="shared" si="0"/>
        <v>5758165.522561729</v>
      </c>
      <c r="J27" s="60">
        <f t="shared" si="1"/>
        <v>2274.3764426250641</v>
      </c>
      <c r="K27" s="60">
        <v>5758165.5199999996</v>
      </c>
      <c r="L27" s="60">
        <v>2274.3764416132249</v>
      </c>
      <c r="M27" s="60">
        <f t="shared" si="2"/>
        <v>5758165.5199999996</v>
      </c>
      <c r="N27" s="60">
        <f t="shared" si="3"/>
        <v>2274.3764416132249</v>
      </c>
      <c r="O27" s="60">
        <f t="shared" si="4"/>
        <v>210.37982084922331</v>
      </c>
      <c r="P27" s="60">
        <f t="shared" si="5"/>
        <v>2063.9966207640014</v>
      </c>
      <c r="Q27" s="60">
        <f t="shared" si="6"/>
        <v>532630.31059999997</v>
      </c>
      <c r="R27" s="60">
        <f t="shared" si="7"/>
        <v>5225535.2094000001</v>
      </c>
      <c r="S27" s="66">
        <v>1</v>
      </c>
      <c r="T27" s="60">
        <f t="shared" si="8"/>
        <v>532630.31059999997</v>
      </c>
      <c r="U27" s="60">
        <f t="shared" si="9"/>
        <v>5225535.2094000001</v>
      </c>
      <c r="V27" s="60">
        <v>0</v>
      </c>
      <c r="W27" s="60">
        <f t="shared" si="10"/>
        <v>5758165.5199999996</v>
      </c>
      <c r="X27" s="21"/>
      <c r="Y27" s="21"/>
    </row>
    <row r="28" spans="1:25" ht="19.5" customHeight="1">
      <c r="A28" s="57" t="s">
        <v>5</v>
      </c>
      <c r="B28" s="57" t="s">
        <v>70</v>
      </c>
      <c r="C28" s="56" t="s">
        <v>49</v>
      </c>
      <c r="D28" s="57" t="s">
        <v>137</v>
      </c>
      <c r="E28" s="64">
        <v>1130.7492</v>
      </c>
      <c r="F28" s="65">
        <v>4.0949999999999998</v>
      </c>
      <c r="G28" s="60">
        <v>515197.63792499999</v>
      </c>
      <c r="H28" s="60">
        <v>2381608.504983169</v>
      </c>
      <c r="I28" s="60">
        <f t="shared" si="0"/>
        <v>2896806.142908169</v>
      </c>
      <c r="J28" s="60">
        <f t="shared" si="1"/>
        <v>2561.8467321561393</v>
      </c>
      <c r="K28" s="60">
        <v>2896806.14</v>
      </c>
      <c r="L28" s="60">
        <v>2561.8467295842438</v>
      </c>
      <c r="M28" s="60">
        <f t="shared" si="2"/>
        <v>2896806.14</v>
      </c>
      <c r="N28" s="60">
        <f t="shared" si="3"/>
        <v>2561.8467295842438</v>
      </c>
      <c r="O28" s="60">
        <f t="shared" si="4"/>
        <v>236.97082248654254</v>
      </c>
      <c r="P28" s="60">
        <f t="shared" si="5"/>
        <v>2324.8759070977012</v>
      </c>
      <c r="Q28" s="60">
        <f t="shared" si="6"/>
        <v>267954.56795</v>
      </c>
      <c r="R28" s="60">
        <f t="shared" si="7"/>
        <v>2628851.5720500001</v>
      </c>
      <c r="S28" s="66">
        <v>1</v>
      </c>
      <c r="T28" s="60">
        <f t="shared" si="8"/>
        <v>267954.56795</v>
      </c>
      <c r="U28" s="60">
        <f t="shared" si="9"/>
        <v>2628851.5720500001</v>
      </c>
      <c r="V28" s="60">
        <v>-285.89999999999998</v>
      </c>
      <c r="W28" s="60">
        <f t="shared" si="10"/>
        <v>2896520.24</v>
      </c>
      <c r="X28" s="21"/>
      <c r="Y28" s="21"/>
    </row>
    <row r="29" spans="1:25" ht="19.5" customHeight="1">
      <c r="A29" s="57" t="s">
        <v>5</v>
      </c>
      <c r="B29" s="57" t="s">
        <v>70</v>
      </c>
      <c r="C29" s="56" t="s">
        <v>62</v>
      </c>
      <c r="D29" s="57" t="s">
        <v>63</v>
      </c>
      <c r="E29" s="64">
        <v>41.070540000000001</v>
      </c>
      <c r="F29" s="65">
        <v>0.63</v>
      </c>
      <c r="G29" s="60">
        <v>293667.98371200002</v>
      </c>
      <c r="H29" s="60">
        <v>85064.806586839681</v>
      </c>
      <c r="I29" s="60">
        <f t="shared" si="0"/>
        <v>378732.79029883968</v>
      </c>
      <c r="J29" s="60">
        <f t="shared" si="1"/>
        <v>9221.5196171961616</v>
      </c>
      <c r="K29" s="60">
        <v>378732.79</v>
      </c>
      <c r="L29" s="60">
        <v>9221.528591081189</v>
      </c>
      <c r="M29" s="60">
        <f t="shared" si="2"/>
        <v>378732.79</v>
      </c>
      <c r="N29" s="60">
        <f t="shared" si="3"/>
        <v>9221.5196099199075</v>
      </c>
      <c r="O29" s="60">
        <f t="shared" si="4"/>
        <v>852.99056391759143</v>
      </c>
      <c r="P29" s="60">
        <f t="shared" si="5"/>
        <v>8368.5290460023152</v>
      </c>
      <c r="Q29" s="60">
        <f t="shared" si="6"/>
        <v>35032.783074999999</v>
      </c>
      <c r="R29" s="60">
        <f t="shared" si="7"/>
        <v>343700.00692499999</v>
      </c>
      <c r="S29" s="66">
        <v>1</v>
      </c>
      <c r="T29" s="60">
        <f t="shared" si="8"/>
        <v>35032.783074999999</v>
      </c>
      <c r="U29" s="60">
        <f t="shared" si="9"/>
        <v>343700.00692499999</v>
      </c>
      <c r="V29" s="60">
        <v>-3067.08</v>
      </c>
      <c r="W29" s="60">
        <f t="shared" si="10"/>
        <v>375665.70999999996</v>
      </c>
      <c r="X29" s="21"/>
      <c r="Y29" s="21"/>
    </row>
    <row r="30" spans="1:25" ht="19.5" customHeight="1">
      <c r="A30" s="57" t="s">
        <v>5</v>
      </c>
      <c r="B30" s="57" t="s">
        <v>70</v>
      </c>
      <c r="C30" s="56" t="s">
        <v>57</v>
      </c>
      <c r="D30" s="57" t="s">
        <v>60</v>
      </c>
      <c r="E30" s="64">
        <v>1331.2529999999999</v>
      </c>
      <c r="F30" s="65">
        <v>4.0949999999999998</v>
      </c>
      <c r="G30" s="60">
        <v>386398.228107</v>
      </c>
      <c r="H30" s="60">
        <v>2892562.0222722823</v>
      </c>
      <c r="I30" s="60">
        <f t="shared" si="0"/>
        <v>3278960.250379282</v>
      </c>
      <c r="J30" s="60">
        <f t="shared" si="1"/>
        <v>2463.0631821143556</v>
      </c>
      <c r="K30" s="60">
        <v>3278960.25</v>
      </c>
      <c r="L30" s="60">
        <v>2463.0631818294496</v>
      </c>
      <c r="M30" s="60">
        <f t="shared" si="2"/>
        <v>3278960.25</v>
      </c>
      <c r="N30" s="60">
        <f t="shared" si="3"/>
        <v>2463.0631818294496</v>
      </c>
      <c r="O30" s="60">
        <f t="shared" si="4"/>
        <v>227.8333443192241</v>
      </c>
      <c r="P30" s="60">
        <f t="shared" si="5"/>
        <v>2235.2298375102255</v>
      </c>
      <c r="Q30" s="60">
        <f t="shared" si="6"/>
        <v>303303.823125</v>
      </c>
      <c r="R30" s="60">
        <f t="shared" si="7"/>
        <v>2975656.4268749999</v>
      </c>
      <c r="S30" s="66">
        <v>1</v>
      </c>
      <c r="T30" s="60">
        <f t="shared" si="8"/>
        <v>303303.823125</v>
      </c>
      <c r="U30" s="60">
        <f t="shared" si="9"/>
        <v>2975656.4268749999</v>
      </c>
      <c r="V30" s="60">
        <v>0</v>
      </c>
      <c r="W30" s="60">
        <f t="shared" si="10"/>
        <v>3278960.25</v>
      </c>
      <c r="X30" s="21"/>
      <c r="Y30" s="21"/>
    </row>
    <row r="31" spans="1:25" ht="19.5" customHeight="1">
      <c r="A31" s="57" t="s">
        <v>5</v>
      </c>
      <c r="B31" s="57" t="s">
        <v>70</v>
      </c>
      <c r="C31" s="56" t="s">
        <v>71</v>
      </c>
      <c r="D31" s="57" t="s">
        <v>72</v>
      </c>
      <c r="E31" s="64">
        <v>36.930599999999998</v>
      </c>
      <c r="F31" s="65">
        <v>0.63</v>
      </c>
      <c r="G31" s="60">
        <v>293667.98371200002</v>
      </c>
      <c r="H31" s="60">
        <v>76852.037150040502</v>
      </c>
      <c r="I31" s="60">
        <f t="shared" si="0"/>
        <v>370520.02086204052</v>
      </c>
      <c r="J31" s="60">
        <f t="shared" si="1"/>
        <v>10032.873033799628</v>
      </c>
      <c r="K31" s="60">
        <v>370520.02</v>
      </c>
      <c r="L31" s="60">
        <v>10032.873010457453</v>
      </c>
      <c r="M31" s="60">
        <f t="shared" si="2"/>
        <v>370520.02</v>
      </c>
      <c r="N31" s="60">
        <f t="shared" si="3"/>
        <v>10032.873010457453</v>
      </c>
      <c r="O31" s="60">
        <f t="shared" si="4"/>
        <v>928.0407534673144</v>
      </c>
      <c r="P31" s="60">
        <f t="shared" si="5"/>
        <v>9104.8322569901393</v>
      </c>
      <c r="Q31" s="60">
        <f t="shared" si="6"/>
        <v>34273.101849999999</v>
      </c>
      <c r="R31" s="60">
        <f t="shared" si="7"/>
        <v>336246.91814999998</v>
      </c>
      <c r="S31" s="66">
        <v>1</v>
      </c>
      <c r="T31" s="60">
        <f t="shared" si="8"/>
        <v>34273.101849999999</v>
      </c>
      <c r="U31" s="60">
        <f t="shared" si="9"/>
        <v>336246.91814999998</v>
      </c>
      <c r="V31" s="60">
        <v>0</v>
      </c>
      <c r="W31" s="60">
        <f t="shared" si="10"/>
        <v>370520.01999999996</v>
      </c>
      <c r="X31" s="21"/>
      <c r="Y31" s="21"/>
    </row>
    <row r="32" spans="1:25" ht="19.5" customHeight="1">
      <c r="A32" s="57" t="s">
        <v>5</v>
      </c>
      <c r="B32" s="57" t="s">
        <v>138</v>
      </c>
      <c r="C32" s="56" t="s">
        <v>73</v>
      </c>
      <c r="D32" s="57" t="s">
        <v>74</v>
      </c>
      <c r="E32" s="64">
        <v>1602.07853</v>
      </c>
      <c r="F32" s="65">
        <v>7.1020000000000003</v>
      </c>
      <c r="G32" s="60">
        <v>751438.39114600001</v>
      </c>
      <c r="H32" s="60">
        <v>2960245.4410032574</v>
      </c>
      <c r="I32" s="60">
        <f t="shared" si="0"/>
        <v>3711683.8321492574</v>
      </c>
      <c r="J32" s="60">
        <f t="shared" si="1"/>
        <v>2316.7926931454836</v>
      </c>
      <c r="K32" s="60">
        <v>3711683.83</v>
      </c>
      <c r="L32" s="60">
        <v>2316.7905660141819</v>
      </c>
      <c r="M32" s="60">
        <f t="shared" si="2"/>
        <v>3711683.83</v>
      </c>
      <c r="N32" s="60">
        <f t="shared" si="3"/>
        <v>2316.7926918039407</v>
      </c>
      <c r="O32" s="60">
        <f t="shared" si="4"/>
        <v>214.30332399186452</v>
      </c>
      <c r="P32" s="60">
        <f t="shared" si="5"/>
        <v>2102.4893678120761</v>
      </c>
      <c r="Q32" s="60">
        <f t="shared" si="6"/>
        <v>343330.75427500001</v>
      </c>
      <c r="R32" s="60">
        <f t="shared" si="7"/>
        <v>3368353.0757249999</v>
      </c>
      <c r="S32" s="66">
        <v>1</v>
      </c>
      <c r="T32" s="60">
        <f t="shared" si="8"/>
        <v>343330.75427500001</v>
      </c>
      <c r="U32" s="60">
        <f t="shared" si="9"/>
        <v>3368353.0757249999</v>
      </c>
      <c r="V32" s="60">
        <v>-3468.14</v>
      </c>
      <c r="W32" s="60">
        <f t="shared" si="10"/>
        <v>3708215.69</v>
      </c>
      <c r="X32" s="21"/>
      <c r="Y32" s="21"/>
    </row>
    <row r="33" spans="1:25" ht="19.5" customHeight="1">
      <c r="A33" s="57" t="s">
        <v>5</v>
      </c>
      <c r="B33" s="57" t="s">
        <v>138</v>
      </c>
      <c r="C33" s="56" t="s">
        <v>119</v>
      </c>
      <c r="D33" s="57" t="s">
        <v>120</v>
      </c>
      <c r="E33" s="64">
        <v>4709.8443180000004</v>
      </c>
      <c r="F33" s="65">
        <v>13.071999999999999</v>
      </c>
      <c r="G33" s="60">
        <v>1725448.9176620001</v>
      </c>
      <c r="H33" s="60">
        <v>8666560.0752747525</v>
      </c>
      <c r="I33" s="60">
        <f t="shared" si="0"/>
        <v>10392008.992936753</v>
      </c>
      <c r="J33" s="60">
        <f t="shared" si="1"/>
        <v>2206.4442667925891</v>
      </c>
      <c r="K33" s="60">
        <v>10392008.99</v>
      </c>
      <c r="L33" s="60">
        <v>2206.4442746016043</v>
      </c>
      <c r="M33" s="60">
        <f t="shared" si="2"/>
        <v>10392008.99</v>
      </c>
      <c r="N33" s="60">
        <f t="shared" si="3"/>
        <v>2206.4442661690541</v>
      </c>
      <c r="O33" s="60">
        <f t="shared" si="4"/>
        <v>204.0960946206375</v>
      </c>
      <c r="P33" s="60">
        <f t="shared" si="5"/>
        <v>2002.3481715484165</v>
      </c>
      <c r="Q33" s="60">
        <f t="shared" si="6"/>
        <v>961260.83157499996</v>
      </c>
      <c r="R33" s="60">
        <f t="shared" si="7"/>
        <v>9430748.1584249996</v>
      </c>
      <c r="S33" s="66">
        <v>1</v>
      </c>
      <c r="T33" s="60">
        <f t="shared" si="8"/>
        <v>961260.83157499996</v>
      </c>
      <c r="U33" s="60">
        <f t="shared" si="9"/>
        <v>9430748.1584249996</v>
      </c>
      <c r="V33" s="60">
        <v>-2983.08</v>
      </c>
      <c r="W33" s="60">
        <f t="shared" si="10"/>
        <v>10389025.91</v>
      </c>
      <c r="X33" s="21"/>
      <c r="Y33" s="21"/>
    </row>
    <row r="34" spans="1:25" ht="19.5" customHeight="1">
      <c r="A34" s="57" t="s">
        <v>5</v>
      </c>
      <c r="B34" s="57" t="s">
        <v>144</v>
      </c>
      <c r="C34" s="56" t="s">
        <v>91</v>
      </c>
      <c r="D34" s="57" t="s">
        <v>161</v>
      </c>
      <c r="E34" s="64">
        <v>3009.1168820000003</v>
      </c>
      <c r="F34" s="65">
        <v>10.518000000000001</v>
      </c>
      <c r="G34" s="60">
        <v>801583.52062900004</v>
      </c>
      <c r="H34" s="60">
        <v>5985655.5525542349</v>
      </c>
      <c r="I34" s="60">
        <f t="shared" si="0"/>
        <v>6787239.0731832348</v>
      </c>
      <c r="J34" s="60">
        <f t="shared" si="1"/>
        <v>2255.5584709199188</v>
      </c>
      <c r="K34" s="60">
        <v>6787239.0700000003</v>
      </c>
      <c r="L34" s="60">
        <v>2255.556132689956</v>
      </c>
      <c r="M34" s="60">
        <f t="shared" si="2"/>
        <v>6787239.0700000003</v>
      </c>
      <c r="N34" s="60">
        <f t="shared" si="3"/>
        <v>2255.5584698620555</v>
      </c>
      <c r="O34" s="60">
        <f t="shared" si="4"/>
        <v>208.63915846224015</v>
      </c>
      <c r="P34" s="60">
        <f t="shared" si="5"/>
        <v>2046.9193113998153</v>
      </c>
      <c r="Q34" s="60">
        <f t="shared" si="6"/>
        <v>627819.61397499999</v>
      </c>
      <c r="R34" s="60">
        <f t="shared" si="7"/>
        <v>6159419.4560249997</v>
      </c>
      <c r="S34" s="66">
        <v>1</v>
      </c>
      <c r="T34" s="60">
        <f t="shared" si="8"/>
        <v>627819.61397499999</v>
      </c>
      <c r="U34" s="60">
        <f t="shared" si="9"/>
        <v>6159419.4560249997</v>
      </c>
      <c r="V34" s="60">
        <v>-726.27</v>
      </c>
      <c r="W34" s="60">
        <f t="shared" si="10"/>
        <v>6786512.7999999998</v>
      </c>
      <c r="X34" s="21"/>
      <c r="Y34" s="21"/>
    </row>
    <row r="35" spans="1:25" ht="19.5" customHeight="1">
      <c r="A35" s="57" t="s">
        <v>5</v>
      </c>
      <c r="B35" s="57" t="s">
        <v>138</v>
      </c>
      <c r="C35" s="56" t="s">
        <v>121</v>
      </c>
      <c r="D35" s="57" t="s">
        <v>122</v>
      </c>
      <c r="E35" s="64">
        <v>370.97876299999996</v>
      </c>
      <c r="F35" s="65">
        <v>1.397</v>
      </c>
      <c r="G35" s="60">
        <v>32336.792271999999</v>
      </c>
      <c r="H35" s="60">
        <v>849754.89473254175</v>
      </c>
      <c r="I35" s="60">
        <f t="shared" si="0"/>
        <v>882091.68700454175</v>
      </c>
      <c r="J35" s="60">
        <f t="shared" si="1"/>
        <v>2377.7417334386387</v>
      </c>
      <c r="K35" s="60">
        <v>882091.69</v>
      </c>
      <c r="L35" s="60">
        <v>2377.7415043662872</v>
      </c>
      <c r="M35" s="60">
        <f t="shared" si="2"/>
        <v>882091.68700454175</v>
      </c>
      <c r="N35" s="60">
        <f t="shared" si="3"/>
        <v>2377.7417334386387</v>
      </c>
      <c r="O35" s="60">
        <f t="shared" si="4"/>
        <v>219.94111034307409</v>
      </c>
      <c r="P35" s="60">
        <f t="shared" si="5"/>
        <v>2157.8006230955648</v>
      </c>
      <c r="Q35" s="60">
        <f t="shared" si="6"/>
        <v>81593.481047920126</v>
      </c>
      <c r="R35" s="60">
        <f t="shared" si="7"/>
        <v>800498.20595700003</v>
      </c>
      <c r="S35" s="66">
        <v>1</v>
      </c>
      <c r="T35" s="60">
        <f t="shared" si="8"/>
        <v>81593.481048000001</v>
      </c>
      <c r="U35" s="60">
        <f t="shared" si="9"/>
        <v>800498.20595700003</v>
      </c>
      <c r="V35" s="60">
        <v>0</v>
      </c>
      <c r="W35" s="60">
        <f t="shared" si="10"/>
        <v>882091.68700500007</v>
      </c>
      <c r="X35" s="21"/>
      <c r="Y35" s="21"/>
    </row>
    <row r="36" spans="1:25" ht="19.5" customHeight="1">
      <c r="A36" s="57" t="s">
        <v>5</v>
      </c>
      <c r="B36" s="57" t="s">
        <v>138</v>
      </c>
      <c r="C36" s="56" t="s">
        <v>92</v>
      </c>
      <c r="D36" s="57" t="s">
        <v>93</v>
      </c>
      <c r="E36" s="64">
        <v>125.449793</v>
      </c>
      <c r="F36" s="65">
        <v>0.95799999999999996</v>
      </c>
      <c r="G36" s="60">
        <v>31965.594966000001</v>
      </c>
      <c r="H36" s="60">
        <v>264821.39712456329</v>
      </c>
      <c r="I36" s="60">
        <f t="shared" si="0"/>
        <v>296786.99209056329</v>
      </c>
      <c r="J36" s="60">
        <f t="shared" si="1"/>
        <v>2365.7830355332935</v>
      </c>
      <c r="K36" s="60">
        <v>296786.99</v>
      </c>
      <c r="L36" s="60">
        <v>2365.7828868599231</v>
      </c>
      <c r="M36" s="60">
        <f t="shared" si="2"/>
        <v>296786.99</v>
      </c>
      <c r="N36" s="60">
        <f t="shared" si="3"/>
        <v>2365.7830188687517</v>
      </c>
      <c r="O36" s="60">
        <f t="shared" si="4"/>
        <v>218.83492924535952</v>
      </c>
      <c r="P36" s="60">
        <f t="shared" si="5"/>
        <v>2146.9480896233922</v>
      </c>
      <c r="Q36" s="60">
        <f t="shared" si="6"/>
        <v>27452.796574999997</v>
      </c>
      <c r="R36" s="60">
        <f t="shared" si="7"/>
        <v>269334.193425</v>
      </c>
      <c r="S36" s="66">
        <v>1</v>
      </c>
      <c r="T36" s="60">
        <f t="shared" si="8"/>
        <v>27452.796575</v>
      </c>
      <c r="U36" s="60">
        <f t="shared" si="9"/>
        <v>269334.193425</v>
      </c>
      <c r="V36" s="60">
        <v>0</v>
      </c>
      <c r="W36" s="60">
        <f t="shared" si="10"/>
        <v>296786.99</v>
      </c>
      <c r="X36" s="21"/>
      <c r="Y36" s="21"/>
    </row>
    <row r="37" spans="1:25" ht="19.5" customHeight="1">
      <c r="A37" s="57" t="s">
        <v>5</v>
      </c>
      <c r="B37" s="57" t="s">
        <v>138</v>
      </c>
      <c r="C37" s="56" t="s">
        <v>94</v>
      </c>
      <c r="D37" s="57" t="s">
        <v>95</v>
      </c>
      <c r="E37" s="64">
        <v>940.52364399999999</v>
      </c>
      <c r="F37" s="65">
        <v>3.7320000000000002</v>
      </c>
      <c r="G37" s="60">
        <v>322189.36142799997</v>
      </c>
      <c r="H37" s="60">
        <v>1750773.8149759301</v>
      </c>
      <c r="I37" s="60">
        <f t="shared" si="0"/>
        <v>2072963.1764039302</v>
      </c>
      <c r="J37" s="60">
        <f t="shared" si="1"/>
        <v>2204.0521677772199</v>
      </c>
      <c r="K37" s="60">
        <v>2072963.18</v>
      </c>
      <c r="L37" s="60">
        <v>2204.0522747116606</v>
      </c>
      <c r="M37" s="60">
        <f t="shared" si="2"/>
        <v>2072963.1764039302</v>
      </c>
      <c r="N37" s="60">
        <f t="shared" si="3"/>
        <v>2204.0521677772199</v>
      </c>
      <c r="O37" s="60">
        <f t="shared" si="4"/>
        <v>203.87482551939283</v>
      </c>
      <c r="P37" s="60">
        <f t="shared" si="5"/>
        <v>2000.1773422578271</v>
      </c>
      <c r="Q37" s="60">
        <f t="shared" si="6"/>
        <v>191749.09381736352</v>
      </c>
      <c r="R37" s="60">
        <f t="shared" si="7"/>
        <v>1881214.082587</v>
      </c>
      <c r="S37" s="66">
        <v>1</v>
      </c>
      <c r="T37" s="60">
        <f t="shared" si="8"/>
        <v>191749.09381699999</v>
      </c>
      <c r="U37" s="60">
        <f t="shared" si="9"/>
        <v>1881214.082587</v>
      </c>
      <c r="V37" s="60">
        <v>0</v>
      </c>
      <c r="W37" s="60">
        <f t="shared" si="10"/>
        <v>2072963.176404</v>
      </c>
      <c r="X37" s="21"/>
      <c r="Y37" s="21"/>
    </row>
    <row r="38" spans="1:25" ht="19.5" customHeight="1">
      <c r="A38" s="57" t="s">
        <v>5</v>
      </c>
      <c r="B38" s="57" t="s">
        <v>138</v>
      </c>
      <c r="C38" s="56" t="s">
        <v>96</v>
      </c>
      <c r="D38" s="57" t="s">
        <v>97</v>
      </c>
      <c r="E38" s="64">
        <v>1294.1557190000001</v>
      </c>
      <c r="F38" s="65">
        <v>6.0069999999999997</v>
      </c>
      <c r="G38" s="60">
        <v>413566.12302100001</v>
      </c>
      <c r="H38" s="60">
        <v>2419909.3847359973</v>
      </c>
      <c r="I38" s="60">
        <f t="shared" si="0"/>
        <v>2833475.5077569974</v>
      </c>
      <c r="J38" s="60">
        <f t="shared" si="1"/>
        <v>2189.4393898335793</v>
      </c>
      <c r="K38" s="60">
        <v>2833475.51</v>
      </c>
      <c r="L38" s="60">
        <v>2189.4394237107635</v>
      </c>
      <c r="M38" s="60">
        <f t="shared" si="2"/>
        <v>2833475.5077569974</v>
      </c>
      <c r="N38" s="60">
        <f t="shared" si="3"/>
        <v>2189.4393898335793</v>
      </c>
      <c r="O38" s="60">
        <f t="shared" si="4"/>
        <v>202.52314355960607</v>
      </c>
      <c r="P38" s="60">
        <f t="shared" si="5"/>
        <v>1986.9162462739732</v>
      </c>
      <c r="Q38" s="60">
        <f t="shared" si="6"/>
        <v>262096.48446752224</v>
      </c>
      <c r="R38" s="60">
        <f t="shared" si="7"/>
        <v>2571379.0232890001</v>
      </c>
      <c r="S38" s="66">
        <v>1</v>
      </c>
      <c r="T38" s="60">
        <f t="shared" si="8"/>
        <v>262096.48446800001</v>
      </c>
      <c r="U38" s="60">
        <f t="shared" si="9"/>
        <v>2571379.0232890001</v>
      </c>
      <c r="V38" s="60">
        <v>0</v>
      </c>
      <c r="W38" s="60">
        <f t="shared" si="10"/>
        <v>2833475.5077570002</v>
      </c>
      <c r="X38" s="21"/>
      <c r="Y38" s="21"/>
    </row>
    <row r="39" spans="1:25" ht="19.5" customHeight="1">
      <c r="A39" s="57" t="s">
        <v>5</v>
      </c>
      <c r="B39" s="57" t="s">
        <v>138</v>
      </c>
      <c r="C39" s="56" t="s">
        <v>148</v>
      </c>
      <c r="D39" s="57" t="s">
        <v>149</v>
      </c>
      <c r="E39" s="64">
        <v>16.478711999999998</v>
      </c>
      <c r="F39" s="65">
        <v>0.27</v>
      </c>
      <c r="G39" s="60">
        <v>1140.621973</v>
      </c>
      <c r="H39" s="60">
        <v>41601.684288674274</v>
      </c>
      <c r="I39" s="60">
        <f t="shared" si="0"/>
        <v>42742.306261674275</v>
      </c>
      <c r="J39" s="60">
        <f t="shared" si="1"/>
        <v>2593.7892634857799</v>
      </c>
      <c r="K39" s="60">
        <v>42742.31</v>
      </c>
      <c r="L39" s="60">
        <v>2593.7913791743281</v>
      </c>
      <c r="M39" s="60">
        <f t="shared" si="2"/>
        <v>42742.306261674275</v>
      </c>
      <c r="N39" s="60">
        <f t="shared" si="3"/>
        <v>2593.7892634857799</v>
      </c>
      <c r="O39" s="60">
        <f t="shared" si="4"/>
        <v>239.92550687243462</v>
      </c>
      <c r="P39" s="60">
        <f t="shared" si="5"/>
        <v>2353.8637566133452</v>
      </c>
      <c r="Q39" s="60">
        <f t="shared" si="6"/>
        <v>3953.6633292048705</v>
      </c>
      <c r="R39" s="60">
        <f t="shared" si="7"/>
        <v>38788.642932000002</v>
      </c>
      <c r="S39" s="66">
        <v>1</v>
      </c>
      <c r="T39" s="60">
        <f t="shared" si="8"/>
        <v>3953.663329</v>
      </c>
      <c r="U39" s="60">
        <f t="shared" si="9"/>
        <v>38788.642932000002</v>
      </c>
      <c r="V39" s="60">
        <v>-0.77</v>
      </c>
      <c r="W39" s="60">
        <f t="shared" si="10"/>
        <v>42741.536261000008</v>
      </c>
      <c r="X39" s="21"/>
      <c r="Y39" s="21"/>
    </row>
    <row r="40" spans="1:25" ht="19.5" customHeight="1">
      <c r="A40" s="57" t="s">
        <v>5</v>
      </c>
      <c r="B40" s="57" t="s">
        <v>138</v>
      </c>
      <c r="C40" s="56" t="s">
        <v>150</v>
      </c>
      <c r="D40" s="57" t="s">
        <v>151</v>
      </c>
      <c r="E40" s="64">
        <v>4049.0689070000003</v>
      </c>
      <c r="F40" s="65">
        <v>11.122</v>
      </c>
      <c r="G40" s="60">
        <v>1444830.0813869999</v>
      </c>
      <c r="H40" s="60">
        <v>7454054.3456132673</v>
      </c>
      <c r="I40" s="60">
        <f t="shared" si="0"/>
        <v>8898884.4270002674</v>
      </c>
      <c r="J40" s="60">
        <f t="shared" si="1"/>
        <v>2197.7606781687368</v>
      </c>
      <c r="K40" s="60">
        <v>8898884.4299999997</v>
      </c>
      <c r="L40" s="60">
        <v>2197.7606827090544</v>
      </c>
      <c r="M40" s="60">
        <f t="shared" si="2"/>
        <v>8898884.4270002674</v>
      </c>
      <c r="N40" s="60">
        <f t="shared" si="3"/>
        <v>2197.7606781687368</v>
      </c>
      <c r="O40" s="60">
        <f t="shared" si="4"/>
        <v>203.29286273060816</v>
      </c>
      <c r="P40" s="60">
        <f t="shared" si="5"/>
        <v>1994.4678154381286</v>
      </c>
      <c r="Q40" s="60">
        <f t="shared" si="6"/>
        <v>823146.80949752475</v>
      </c>
      <c r="R40" s="60">
        <f t="shared" si="7"/>
        <v>8075737.6175030004</v>
      </c>
      <c r="S40" s="66">
        <v>1</v>
      </c>
      <c r="T40" s="60">
        <f t="shared" si="8"/>
        <v>823146.80949799996</v>
      </c>
      <c r="U40" s="60">
        <f t="shared" si="9"/>
        <v>8075737.6175030004</v>
      </c>
      <c r="V40" s="60">
        <v>0</v>
      </c>
      <c r="W40" s="60">
        <f t="shared" si="10"/>
        <v>8898884.4270009995</v>
      </c>
      <c r="X40" s="21"/>
      <c r="Y40" s="21"/>
    </row>
    <row r="41" spans="1:25" ht="19.5" customHeight="1">
      <c r="A41" s="57" t="s">
        <v>5</v>
      </c>
      <c r="B41" s="57" t="s">
        <v>138</v>
      </c>
      <c r="C41" s="56" t="s">
        <v>75</v>
      </c>
      <c r="D41" s="57" t="s">
        <v>162</v>
      </c>
      <c r="E41" s="64">
        <v>237.84967499999999</v>
      </c>
      <c r="F41" s="65">
        <v>2.2309999999999999</v>
      </c>
      <c r="G41" s="60">
        <v>56124.570003000001</v>
      </c>
      <c r="H41" s="60">
        <v>493443.13131202949</v>
      </c>
      <c r="I41" s="60">
        <f t="shared" si="0"/>
        <v>549567.70131502952</v>
      </c>
      <c r="J41" s="60">
        <f t="shared" si="1"/>
        <v>2310.5673838529715</v>
      </c>
      <c r="K41" s="60">
        <v>549567.69999999995</v>
      </c>
      <c r="L41" s="60">
        <v>2310.5671354641186</v>
      </c>
      <c r="M41" s="60">
        <f t="shared" si="2"/>
        <v>549567.69999999995</v>
      </c>
      <c r="N41" s="60">
        <f t="shared" si="3"/>
        <v>2310.567378324145</v>
      </c>
      <c r="O41" s="60">
        <f t="shared" si="4"/>
        <v>213.72748249498341</v>
      </c>
      <c r="P41" s="60">
        <f t="shared" si="5"/>
        <v>2096.8398958291618</v>
      </c>
      <c r="Q41" s="60">
        <f t="shared" si="6"/>
        <v>50835.012249999992</v>
      </c>
      <c r="R41" s="60">
        <f t="shared" si="7"/>
        <v>498732.68774999998</v>
      </c>
      <c r="S41" s="66">
        <v>1</v>
      </c>
      <c r="T41" s="60">
        <f t="shared" si="8"/>
        <v>50835.01225</v>
      </c>
      <c r="U41" s="60">
        <f t="shared" si="9"/>
        <v>498732.68774999998</v>
      </c>
      <c r="V41" s="60">
        <v>0</v>
      </c>
      <c r="W41" s="60">
        <f t="shared" si="10"/>
        <v>549567.69999999995</v>
      </c>
      <c r="X41" s="21"/>
      <c r="Y41" s="21"/>
    </row>
    <row r="42" spans="1:25" ht="19.5" customHeight="1">
      <c r="A42" s="57" t="s">
        <v>5</v>
      </c>
      <c r="B42" s="57" t="s">
        <v>138</v>
      </c>
      <c r="C42" s="56" t="s">
        <v>76</v>
      </c>
      <c r="D42" s="57" t="s">
        <v>77</v>
      </c>
      <c r="E42" s="64">
        <v>151.46653099999997</v>
      </c>
      <c r="F42" s="65">
        <v>0.91900000000000004</v>
      </c>
      <c r="G42" s="60">
        <v>4245.6013949999997</v>
      </c>
      <c r="H42" s="60">
        <v>349468.88435830246</v>
      </c>
      <c r="I42" s="60">
        <f t="shared" si="0"/>
        <v>353714.48575330246</v>
      </c>
      <c r="J42" s="60">
        <f t="shared" si="1"/>
        <v>2335.264981762225</v>
      </c>
      <c r="K42" s="60">
        <v>353714.49</v>
      </c>
      <c r="L42" s="60">
        <v>2335.2654877481159</v>
      </c>
      <c r="M42" s="60">
        <f t="shared" si="2"/>
        <v>353714.48575330246</v>
      </c>
      <c r="N42" s="60">
        <f t="shared" si="3"/>
        <v>2335.264981762225</v>
      </c>
      <c r="O42" s="60">
        <f t="shared" si="4"/>
        <v>216.01201081300582</v>
      </c>
      <c r="P42" s="60">
        <f t="shared" si="5"/>
        <v>2119.2529709492192</v>
      </c>
      <c r="Q42" s="60">
        <f t="shared" si="6"/>
        <v>32718.589932180475</v>
      </c>
      <c r="R42" s="60">
        <f t="shared" si="7"/>
        <v>320995.89582099998</v>
      </c>
      <c r="S42" s="66">
        <v>1</v>
      </c>
      <c r="T42" s="60">
        <f t="shared" si="8"/>
        <v>32718.589931999999</v>
      </c>
      <c r="U42" s="60">
        <f t="shared" si="9"/>
        <v>320995.89582099998</v>
      </c>
      <c r="V42" s="60">
        <v>0</v>
      </c>
      <c r="W42" s="60">
        <f t="shared" si="10"/>
        <v>353714.48575299996</v>
      </c>
      <c r="X42" s="21"/>
      <c r="Y42" s="21"/>
    </row>
    <row r="43" spans="1:25" ht="19.5" customHeight="1">
      <c r="A43" s="57" t="s">
        <v>5</v>
      </c>
      <c r="B43" s="57" t="s">
        <v>138</v>
      </c>
      <c r="C43" s="56" t="s">
        <v>98</v>
      </c>
      <c r="D43" s="57" t="s">
        <v>99</v>
      </c>
      <c r="E43" s="64">
        <v>4655.0646580000002</v>
      </c>
      <c r="F43" s="65">
        <v>13.722</v>
      </c>
      <c r="G43" s="60">
        <v>1807336.3282550001</v>
      </c>
      <c r="H43" s="60">
        <v>8572338.0905878581</v>
      </c>
      <c r="I43" s="60">
        <f t="shared" si="0"/>
        <v>10379674.418842858</v>
      </c>
      <c r="J43" s="60">
        <f t="shared" si="1"/>
        <v>2229.7594515695464</v>
      </c>
      <c r="K43" s="60">
        <v>10379674.42</v>
      </c>
      <c r="L43" s="60">
        <v>2229.7594317002727</v>
      </c>
      <c r="M43" s="60">
        <f t="shared" si="2"/>
        <v>10379674.418842858</v>
      </c>
      <c r="N43" s="60">
        <f t="shared" si="3"/>
        <v>2229.7594515695464</v>
      </c>
      <c r="O43" s="60">
        <f t="shared" si="4"/>
        <v>206.25274927018305</v>
      </c>
      <c r="P43" s="60">
        <f t="shared" si="5"/>
        <v>2023.5067022993633</v>
      </c>
      <c r="Q43" s="60">
        <f t="shared" si="6"/>
        <v>960119.88374296448</v>
      </c>
      <c r="R43" s="60">
        <f t="shared" si="7"/>
        <v>9419554.5351</v>
      </c>
      <c r="S43" s="66">
        <v>1</v>
      </c>
      <c r="T43" s="60">
        <f t="shared" si="8"/>
        <v>960119.88374299998</v>
      </c>
      <c r="U43" s="60">
        <f t="shared" si="9"/>
        <v>9419554.5351</v>
      </c>
      <c r="V43" s="60">
        <v>0</v>
      </c>
      <c r="W43" s="60">
        <f t="shared" si="10"/>
        <v>10379674.418842999</v>
      </c>
      <c r="X43" s="21"/>
      <c r="Y43" s="21"/>
    </row>
    <row r="44" spans="1:25" ht="19.5" customHeight="1">
      <c r="A44" s="57" t="s">
        <v>5</v>
      </c>
      <c r="B44" s="57" t="s">
        <v>138</v>
      </c>
      <c r="C44" s="56" t="s">
        <v>78</v>
      </c>
      <c r="D44" s="57" t="s">
        <v>163</v>
      </c>
      <c r="E44" s="64">
        <v>513.00119400000005</v>
      </c>
      <c r="F44" s="65">
        <v>3.7320000000000002</v>
      </c>
      <c r="G44" s="60">
        <v>231541.29582599999</v>
      </c>
      <c r="H44" s="60">
        <v>992227.65383879561</v>
      </c>
      <c r="I44" s="60">
        <f t="shared" si="0"/>
        <v>1223768.9496647955</v>
      </c>
      <c r="J44" s="60">
        <f t="shared" si="1"/>
        <v>2385.5089695264828</v>
      </c>
      <c r="K44" s="60">
        <v>1223768.95</v>
      </c>
      <c r="L44" s="60">
        <v>2385.5089422792771</v>
      </c>
      <c r="M44" s="60">
        <f t="shared" si="2"/>
        <v>1223768.9496647955</v>
      </c>
      <c r="N44" s="60">
        <f t="shared" si="3"/>
        <v>2385.5089695264828</v>
      </c>
      <c r="O44" s="60">
        <f t="shared" si="4"/>
        <v>220.65957968119966</v>
      </c>
      <c r="P44" s="60">
        <f t="shared" si="5"/>
        <v>2164.849389845283</v>
      </c>
      <c r="Q44" s="60">
        <f t="shared" si="6"/>
        <v>113198.62784399357</v>
      </c>
      <c r="R44" s="60">
        <f t="shared" si="7"/>
        <v>1110570.321821</v>
      </c>
      <c r="S44" s="66">
        <v>1</v>
      </c>
      <c r="T44" s="60">
        <f t="shared" si="8"/>
        <v>113198.627844</v>
      </c>
      <c r="U44" s="60">
        <f t="shared" si="9"/>
        <v>1110570.321821</v>
      </c>
      <c r="V44" s="60">
        <v>0</v>
      </c>
      <c r="W44" s="60">
        <f t="shared" si="10"/>
        <v>1223768.949665</v>
      </c>
      <c r="X44" s="21"/>
      <c r="Y44" s="21"/>
    </row>
    <row r="45" spans="1:25" ht="19.5" customHeight="1">
      <c r="A45" s="57" t="s">
        <v>5</v>
      </c>
      <c r="B45" s="57" t="s">
        <v>138</v>
      </c>
      <c r="C45" s="56" t="s">
        <v>65</v>
      </c>
      <c r="D45" s="57" t="s">
        <v>140</v>
      </c>
      <c r="E45" s="64">
        <v>2650.9891889999999</v>
      </c>
      <c r="F45" s="65">
        <v>7.0419999999999998</v>
      </c>
      <c r="G45" s="60">
        <v>964154.19580099999</v>
      </c>
      <c r="H45" s="60">
        <v>4869936.2868055869</v>
      </c>
      <c r="I45" s="60">
        <f t="shared" si="0"/>
        <v>5834090.482606587</v>
      </c>
      <c r="J45" s="60">
        <f t="shared" si="1"/>
        <v>2200.7220952897619</v>
      </c>
      <c r="K45" s="60">
        <v>5834090.4800000004</v>
      </c>
      <c r="L45" s="60">
        <v>2200.7220851748475</v>
      </c>
      <c r="M45" s="60">
        <f t="shared" si="2"/>
        <v>5834090.4800000004</v>
      </c>
      <c r="N45" s="60">
        <f t="shared" si="3"/>
        <v>2200.7220943065117</v>
      </c>
      <c r="O45" s="60">
        <f t="shared" si="4"/>
        <v>203.56679372335233</v>
      </c>
      <c r="P45" s="60">
        <f t="shared" si="5"/>
        <v>1997.1553005831595</v>
      </c>
      <c r="Q45" s="60">
        <f t="shared" si="6"/>
        <v>539653.36940000008</v>
      </c>
      <c r="R45" s="60">
        <f t="shared" si="7"/>
        <v>5294437.1106000002</v>
      </c>
      <c r="S45" s="66">
        <v>1</v>
      </c>
      <c r="T45" s="60">
        <f t="shared" si="8"/>
        <v>539653.36939999997</v>
      </c>
      <c r="U45" s="60">
        <f t="shared" si="9"/>
        <v>5294437.1106000002</v>
      </c>
      <c r="V45" s="60">
        <v>0</v>
      </c>
      <c r="W45" s="60">
        <f t="shared" si="10"/>
        <v>5834090.4800000004</v>
      </c>
      <c r="X45" s="21"/>
      <c r="Y45" s="21"/>
    </row>
    <row r="46" spans="1:25" ht="19.5" customHeight="1">
      <c r="A46" s="57" t="s">
        <v>5</v>
      </c>
      <c r="B46" s="57" t="s">
        <v>55</v>
      </c>
      <c r="C46" s="56" t="s">
        <v>56</v>
      </c>
      <c r="D46" s="57" t="s">
        <v>200</v>
      </c>
      <c r="E46" s="64">
        <v>4924.66021</v>
      </c>
      <c r="F46" s="65">
        <v>13.65</v>
      </c>
      <c r="G46" s="60">
        <v>512594.43115800002</v>
      </c>
      <c r="H46" s="60">
        <v>10106109.830254141</v>
      </c>
      <c r="I46" s="60">
        <f t="shared" si="0"/>
        <v>10618704.261412142</v>
      </c>
      <c r="J46" s="60">
        <f t="shared" si="1"/>
        <v>2156.2308481405139</v>
      </c>
      <c r="K46" s="60">
        <v>10618704.26</v>
      </c>
      <c r="L46" s="60">
        <v>5309352.13</v>
      </c>
      <c r="M46" s="60">
        <f t="shared" si="2"/>
        <v>10618704.26</v>
      </c>
      <c r="N46" s="60">
        <f t="shared" si="3"/>
        <v>2156.2308478537648</v>
      </c>
      <c r="O46" s="60">
        <f t="shared" si="4"/>
        <v>199.45135342647325</v>
      </c>
      <c r="P46" s="60">
        <f t="shared" si="5"/>
        <v>1956.7794944272914</v>
      </c>
      <c r="Q46" s="60">
        <f t="shared" si="6"/>
        <v>982230.14405</v>
      </c>
      <c r="R46" s="60">
        <f t="shared" si="7"/>
        <v>9636474.1159499995</v>
      </c>
      <c r="S46" s="66">
        <v>1</v>
      </c>
      <c r="T46" s="60">
        <f t="shared" si="8"/>
        <v>982230.14405</v>
      </c>
      <c r="U46" s="60">
        <f t="shared" si="9"/>
        <v>9636474.1159499995</v>
      </c>
      <c r="V46" s="60">
        <v>-522.02</v>
      </c>
      <c r="W46" s="60">
        <f t="shared" si="10"/>
        <v>10618182.24</v>
      </c>
      <c r="X46" s="21"/>
      <c r="Y46" s="21"/>
    </row>
    <row r="47" spans="1:25" ht="19.5" customHeight="1">
      <c r="A47" s="57" t="s">
        <v>5</v>
      </c>
      <c r="B47" s="57" t="s">
        <v>138</v>
      </c>
      <c r="C47" s="56" t="s">
        <v>66</v>
      </c>
      <c r="D47" s="57" t="s">
        <v>141</v>
      </c>
      <c r="E47" s="64">
        <v>6200.9370719999997</v>
      </c>
      <c r="F47" s="65">
        <v>21.556999999999999</v>
      </c>
      <c r="G47" s="60">
        <v>4756457.8521689996</v>
      </c>
      <c r="H47" s="60">
        <v>11386412.137972966</v>
      </c>
      <c r="I47" s="60">
        <f t="shared" si="0"/>
        <v>16142869.990141965</v>
      </c>
      <c r="J47" s="60">
        <f t="shared" si="1"/>
        <v>2603.2952443646354</v>
      </c>
      <c r="K47" s="60">
        <v>16142869.99</v>
      </c>
      <c r="L47" s="60">
        <v>2603.2952325867004</v>
      </c>
      <c r="M47" s="60">
        <f t="shared" si="2"/>
        <v>16142869.99</v>
      </c>
      <c r="N47" s="60">
        <f t="shared" si="3"/>
        <v>2603.2952443417412</v>
      </c>
      <c r="O47" s="60">
        <f t="shared" si="4"/>
        <v>240.80481010161105</v>
      </c>
      <c r="P47" s="60">
        <f t="shared" si="5"/>
        <v>2362.4904342401301</v>
      </c>
      <c r="Q47" s="60">
        <f t="shared" si="6"/>
        <v>1493215.474075</v>
      </c>
      <c r="R47" s="60">
        <f t="shared" si="7"/>
        <v>14649654.515924999</v>
      </c>
      <c r="S47" s="66">
        <v>1</v>
      </c>
      <c r="T47" s="60">
        <f t="shared" si="8"/>
        <v>1493215.474075</v>
      </c>
      <c r="U47" s="60">
        <f t="shared" si="9"/>
        <v>14649654.515924999</v>
      </c>
      <c r="V47" s="60">
        <v>-25943.919999999998</v>
      </c>
      <c r="W47" s="60">
        <f t="shared" si="10"/>
        <v>16116926.07</v>
      </c>
      <c r="X47" s="21"/>
      <c r="Y47" s="21"/>
    </row>
    <row r="48" spans="1:25" ht="19.5" customHeight="1">
      <c r="A48" s="57" t="s">
        <v>5</v>
      </c>
      <c r="B48" s="57" t="s">
        <v>138</v>
      </c>
      <c r="C48" s="56" t="s">
        <v>123</v>
      </c>
      <c r="D48" s="57" t="s">
        <v>124</v>
      </c>
      <c r="E48" s="64">
        <v>195.61103299999999</v>
      </c>
      <c r="F48" s="65">
        <v>0.53700000000000003</v>
      </c>
      <c r="G48" s="60">
        <v>161893.26828799999</v>
      </c>
      <c r="H48" s="60">
        <v>362747.52182572644</v>
      </c>
      <c r="I48" s="60">
        <f t="shared" si="0"/>
        <v>524640.7901137264</v>
      </c>
      <c r="J48" s="60">
        <f t="shared" si="1"/>
        <v>2682.0613442275849</v>
      </c>
      <c r="K48" s="60">
        <v>524640.79</v>
      </c>
      <c r="L48" s="60">
        <v>2682.0617961157609</v>
      </c>
      <c r="M48" s="60">
        <f t="shared" si="2"/>
        <v>524640.79</v>
      </c>
      <c r="N48" s="60">
        <f t="shared" si="3"/>
        <v>2682.0613436461945</v>
      </c>
      <c r="O48" s="60">
        <f t="shared" si="4"/>
        <v>248.09067428727298</v>
      </c>
      <c r="P48" s="60">
        <f t="shared" si="5"/>
        <v>2433.9706693589214</v>
      </c>
      <c r="Q48" s="60">
        <f t="shared" si="6"/>
        <v>48529.273075000005</v>
      </c>
      <c r="R48" s="60">
        <f t="shared" si="7"/>
        <v>476111.516925</v>
      </c>
      <c r="S48" s="66">
        <v>1</v>
      </c>
      <c r="T48" s="60">
        <f t="shared" si="8"/>
        <v>48529.273074999997</v>
      </c>
      <c r="U48" s="60">
        <f t="shared" si="9"/>
        <v>476111.516925</v>
      </c>
      <c r="V48" s="60">
        <v>0</v>
      </c>
      <c r="W48" s="60">
        <f t="shared" si="10"/>
        <v>524640.79</v>
      </c>
      <c r="X48" s="21"/>
      <c r="Y48" s="21"/>
    </row>
    <row r="49" spans="1:25" ht="19.5" customHeight="1">
      <c r="A49" s="57" t="s">
        <v>5</v>
      </c>
      <c r="B49" s="57" t="s">
        <v>138</v>
      </c>
      <c r="C49" s="56" t="s">
        <v>125</v>
      </c>
      <c r="D49" s="57" t="s">
        <v>126</v>
      </c>
      <c r="E49" s="64">
        <v>146.81518299999999</v>
      </c>
      <c r="F49" s="65">
        <v>0.70799999999999996</v>
      </c>
      <c r="G49" s="60">
        <v>24960.205726</v>
      </c>
      <c r="H49" s="60">
        <v>332889.96475531021</v>
      </c>
      <c r="I49" s="60">
        <f t="shared" si="0"/>
        <v>357850.17048131023</v>
      </c>
      <c r="J49" s="60">
        <f t="shared" si="1"/>
        <v>2437.4193674594967</v>
      </c>
      <c r="K49" s="60">
        <v>357850.17</v>
      </c>
      <c r="L49" s="60">
        <v>2437.4190819479181</v>
      </c>
      <c r="M49" s="60">
        <f t="shared" si="2"/>
        <v>357850.17</v>
      </c>
      <c r="N49" s="60">
        <f t="shared" si="3"/>
        <v>2437.4193641811557</v>
      </c>
      <c r="O49" s="60">
        <f t="shared" si="4"/>
        <v>225.46129118675691</v>
      </c>
      <c r="P49" s="60">
        <f t="shared" si="5"/>
        <v>2211.9580729943987</v>
      </c>
      <c r="Q49" s="60">
        <f t="shared" si="6"/>
        <v>33101.140724999997</v>
      </c>
      <c r="R49" s="60">
        <f t="shared" si="7"/>
        <v>324749.02927499998</v>
      </c>
      <c r="S49" s="66">
        <v>1</v>
      </c>
      <c r="T49" s="60">
        <f t="shared" si="8"/>
        <v>33101.140724999997</v>
      </c>
      <c r="U49" s="60">
        <f t="shared" si="9"/>
        <v>324749.02927499998</v>
      </c>
      <c r="V49" s="60">
        <v>0</v>
      </c>
      <c r="W49" s="60">
        <f t="shared" si="10"/>
        <v>357850.17</v>
      </c>
      <c r="X49" s="21"/>
      <c r="Y49" s="21"/>
    </row>
    <row r="50" spans="1:25" ht="19.5" customHeight="1">
      <c r="A50" s="57" t="s">
        <v>5</v>
      </c>
      <c r="B50" s="57" t="s">
        <v>138</v>
      </c>
      <c r="C50" s="56" t="s">
        <v>127</v>
      </c>
      <c r="D50" s="57" t="s">
        <v>164</v>
      </c>
      <c r="E50" s="64">
        <v>1857.747153</v>
      </c>
      <c r="F50" s="65">
        <v>8.3490000000000002</v>
      </c>
      <c r="G50" s="60">
        <v>839005.71295800002</v>
      </c>
      <c r="H50" s="60">
        <v>3453938.8780094148</v>
      </c>
      <c r="I50" s="60">
        <f t="shared" si="0"/>
        <v>4292944.5909674149</v>
      </c>
      <c r="J50" s="60">
        <f t="shared" si="1"/>
        <v>2310.8336266509218</v>
      </c>
      <c r="K50" s="60">
        <v>4292944.59</v>
      </c>
      <c r="L50" s="60">
        <v>2310.8335676673337</v>
      </c>
      <c r="M50" s="60">
        <f t="shared" si="2"/>
        <v>4292944.59</v>
      </c>
      <c r="N50" s="60">
        <f t="shared" si="3"/>
        <v>2310.8336261301756</v>
      </c>
      <c r="O50" s="60">
        <f t="shared" si="4"/>
        <v>213.75211041704125</v>
      </c>
      <c r="P50" s="60">
        <f t="shared" si="5"/>
        <v>2097.0815157131342</v>
      </c>
      <c r="Q50" s="60">
        <f t="shared" si="6"/>
        <v>397097.37457500002</v>
      </c>
      <c r="R50" s="60">
        <f t="shared" si="7"/>
        <v>3895847.2154250001</v>
      </c>
      <c r="S50" s="66">
        <v>1</v>
      </c>
      <c r="T50" s="60">
        <f t="shared" si="8"/>
        <v>397097.37457500002</v>
      </c>
      <c r="U50" s="60">
        <f t="shared" si="9"/>
        <v>3895847.2154250001</v>
      </c>
      <c r="V50" s="60">
        <v>0</v>
      </c>
      <c r="W50" s="60">
        <f t="shared" si="10"/>
        <v>4292944.59</v>
      </c>
      <c r="X50" s="21"/>
      <c r="Y50" s="21"/>
    </row>
    <row r="51" spans="1:25" ht="19.5" customHeight="1">
      <c r="A51" s="57" t="s">
        <v>5</v>
      </c>
      <c r="B51" s="57" t="s">
        <v>144</v>
      </c>
      <c r="C51" s="56" t="s">
        <v>128</v>
      </c>
      <c r="D51" s="57" t="s">
        <v>165</v>
      </c>
      <c r="E51" s="64">
        <v>3667.127845</v>
      </c>
      <c r="F51" s="65">
        <v>9.218</v>
      </c>
      <c r="G51" s="60">
        <v>707727.57059999998</v>
      </c>
      <c r="H51" s="60">
        <v>7277573.0177486176</v>
      </c>
      <c r="I51" s="60">
        <f t="shared" si="0"/>
        <v>7985300.5883486178</v>
      </c>
      <c r="J51" s="60">
        <f t="shared" si="1"/>
        <v>2177.5353698770809</v>
      </c>
      <c r="K51" s="60">
        <v>7985300.5899999999</v>
      </c>
      <c r="L51" s="60">
        <v>2177.5340906921761</v>
      </c>
      <c r="M51" s="60">
        <f t="shared" si="2"/>
        <v>7985300.5883486178</v>
      </c>
      <c r="N51" s="60">
        <f t="shared" si="3"/>
        <v>2177.5353698770809</v>
      </c>
      <c r="O51" s="60">
        <f t="shared" si="4"/>
        <v>201.42202171362999</v>
      </c>
      <c r="P51" s="60">
        <f t="shared" si="5"/>
        <v>1976.1133481634511</v>
      </c>
      <c r="Q51" s="60">
        <f t="shared" si="6"/>
        <v>738640.30442224711</v>
      </c>
      <c r="R51" s="60">
        <f t="shared" si="7"/>
        <v>7246660.2839259999</v>
      </c>
      <c r="S51" s="66">
        <v>1</v>
      </c>
      <c r="T51" s="60">
        <f t="shared" si="8"/>
        <v>738640.30442199996</v>
      </c>
      <c r="U51" s="60">
        <f t="shared" si="9"/>
        <v>7246660.2839259999</v>
      </c>
      <c r="V51" s="60">
        <v>-2345.02</v>
      </c>
      <c r="W51" s="60">
        <f t="shared" si="10"/>
        <v>7982955.5683479998</v>
      </c>
      <c r="X51" s="21"/>
      <c r="Y51" s="21"/>
    </row>
    <row r="52" spans="1:25" ht="19.5" customHeight="1">
      <c r="A52" s="57" t="s">
        <v>5</v>
      </c>
      <c r="B52" s="57" t="s">
        <v>138</v>
      </c>
      <c r="C52" s="56" t="s">
        <v>67</v>
      </c>
      <c r="D52" s="57" t="s">
        <v>142</v>
      </c>
      <c r="E52" s="64">
        <v>2738.0326290000003</v>
      </c>
      <c r="F52" s="65">
        <v>7.0419999999999998</v>
      </c>
      <c r="G52" s="60">
        <v>1134149.39509</v>
      </c>
      <c r="H52" s="60">
        <v>5049654.8379790736</v>
      </c>
      <c r="I52" s="60">
        <f t="shared" si="0"/>
        <v>6183804.2330690734</v>
      </c>
      <c r="J52" s="60">
        <f t="shared" si="1"/>
        <v>2258.484492687568</v>
      </c>
      <c r="K52" s="60">
        <v>6183804.2300000004</v>
      </c>
      <c r="L52" s="60">
        <v>2258.4845154875075</v>
      </c>
      <c r="M52" s="60">
        <f t="shared" si="2"/>
        <v>6183804.2300000004</v>
      </c>
      <c r="N52" s="60">
        <f t="shared" si="3"/>
        <v>2258.4844915666636</v>
      </c>
      <c r="O52" s="60">
        <f t="shared" si="4"/>
        <v>208.90981546991637</v>
      </c>
      <c r="P52" s="60">
        <f t="shared" si="5"/>
        <v>2049.5746760967472</v>
      </c>
      <c r="Q52" s="60">
        <f t="shared" si="6"/>
        <v>572001.89127500006</v>
      </c>
      <c r="R52" s="60">
        <f t="shared" si="7"/>
        <v>5611802.3387249997</v>
      </c>
      <c r="S52" s="66">
        <v>1</v>
      </c>
      <c r="T52" s="60">
        <f t="shared" si="8"/>
        <v>572001.89127499994</v>
      </c>
      <c r="U52" s="60">
        <f t="shared" si="9"/>
        <v>5611802.3387249997</v>
      </c>
      <c r="V52" s="60">
        <v>0</v>
      </c>
      <c r="W52" s="60">
        <f t="shared" si="10"/>
        <v>6183804.2299999995</v>
      </c>
      <c r="X52" s="21"/>
      <c r="Y52" s="21"/>
    </row>
    <row r="53" spans="1:25" ht="19.5" customHeight="1">
      <c r="A53" s="57" t="s">
        <v>5</v>
      </c>
      <c r="B53" s="57" t="s">
        <v>138</v>
      </c>
      <c r="C53" s="56" t="s">
        <v>68</v>
      </c>
      <c r="D53" s="57" t="s">
        <v>143</v>
      </c>
      <c r="E53" s="64">
        <v>1952.7989050000001</v>
      </c>
      <c r="F53" s="65">
        <v>6.4009999999999998</v>
      </c>
      <c r="G53" s="60">
        <v>387229.41542400001</v>
      </c>
      <c r="H53" s="60">
        <v>3609598.2537379325</v>
      </c>
      <c r="I53" s="60">
        <f t="shared" si="0"/>
        <v>3996827.6691619325</v>
      </c>
      <c r="J53" s="60">
        <f t="shared" si="1"/>
        <v>2046.7174878725837</v>
      </c>
      <c r="K53" s="60">
        <v>3996827.67</v>
      </c>
      <c r="L53" s="60">
        <v>2046.7174935422177</v>
      </c>
      <c r="M53" s="60">
        <f t="shared" si="2"/>
        <v>3996827.6691619325</v>
      </c>
      <c r="N53" s="60">
        <f t="shared" si="3"/>
        <v>2046.7174878725837</v>
      </c>
      <c r="O53" s="60">
        <f t="shared" si="4"/>
        <v>189.32136762821398</v>
      </c>
      <c r="P53" s="60">
        <f t="shared" si="5"/>
        <v>1857.3961202443697</v>
      </c>
      <c r="Q53" s="60">
        <f t="shared" si="6"/>
        <v>369706.5593974787</v>
      </c>
      <c r="R53" s="60">
        <f t="shared" si="7"/>
        <v>3627121.1097639999</v>
      </c>
      <c r="S53" s="66">
        <v>1</v>
      </c>
      <c r="T53" s="60">
        <f t="shared" si="8"/>
        <v>369706.559397</v>
      </c>
      <c r="U53" s="60">
        <f t="shared" si="9"/>
        <v>3627121.1097639999</v>
      </c>
      <c r="V53" s="60">
        <v>0</v>
      </c>
      <c r="W53" s="60">
        <f t="shared" si="10"/>
        <v>3996827.6691609998</v>
      </c>
      <c r="X53" s="21"/>
      <c r="Y53" s="21"/>
    </row>
    <row r="54" spans="1:25" ht="19.5" customHeight="1">
      <c r="A54" s="57" t="s">
        <v>5</v>
      </c>
      <c r="B54" s="57" t="s">
        <v>138</v>
      </c>
      <c r="C54" s="56" t="s">
        <v>79</v>
      </c>
      <c r="D54" s="57" t="s">
        <v>80</v>
      </c>
      <c r="E54" s="64">
        <v>2901.4026680000002</v>
      </c>
      <c r="F54" s="65">
        <v>7.4269999999999996</v>
      </c>
      <c r="G54" s="60">
        <v>1208873.3562109999</v>
      </c>
      <c r="H54" s="60">
        <v>5343854.8198671676</v>
      </c>
      <c r="I54" s="60">
        <f t="shared" si="0"/>
        <v>6552728.1760781677</v>
      </c>
      <c r="J54" s="60">
        <f t="shared" si="1"/>
        <v>2258.4690668238427</v>
      </c>
      <c r="K54" s="60">
        <v>6552728.1799999997</v>
      </c>
      <c r="L54" s="60">
        <v>2258.4690432665552</v>
      </c>
      <c r="M54" s="60">
        <f t="shared" si="2"/>
        <v>6552728.1760781677</v>
      </c>
      <c r="N54" s="60">
        <f t="shared" si="3"/>
        <v>2258.4690668238427</v>
      </c>
      <c r="O54" s="60">
        <f t="shared" si="4"/>
        <v>208.90838868120545</v>
      </c>
      <c r="P54" s="60">
        <f t="shared" si="5"/>
        <v>2049.5606781426372</v>
      </c>
      <c r="Q54" s="60">
        <f t="shared" si="6"/>
        <v>606127.3562872305</v>
      </c>
      <c r="R54" s="60">
        <f t="shared" si="7"/>
        <v>5946600.8197910003</v>
      </c>
      <c r="S54" s="66">
        <v>1</v>
      </c>
      <c r="T54" s="60">
        <f t="shared" si="8"/>
        <v>606127.356287</v>
      </c>
      <c r="U54" s="60">
        <f t="shared" si="9"/>
        <v>5946600.8197910003</v>
      </c>
      <c r="V54" s="60">
        <v>0</v>
      </c>
      <c r="W54" s="60">
        <f t="shared" si="10"/>
        <v>6552728.1760780001</v>
      </c>
      <c r="X54" s="21"/>
      <c r="Y54" s="21"/>
    </row>
    <row r="55" spans="1:25" ht="19.5" customHeight="1">
      <c r="A55" s="57" t="s">
        <v>5</v>
      </c>
      <c r="B55" s="57" t="s">
        <v>138</v>
      </c>
      <c r="C55" s="56" t="s">
        <v>129</v>
      </c>
      <c r="D55" s="57" t="s">
        <v>130</v>
      </c>
      <c r="E55" s="64">
        <v>280.54945199999997</v>
      </c>
      <c r="F55" s="65">
        <v>0.77600000000000002</v>
      </c>
      <c r="G55" s="60">
        <v>34497.948221999999</v>
      </c>
      <c r="H55" s="60">
        <v>531915.6430045109</v>
      </c>
      <c r="I55" s="60">
        <f t="shared" si="0"/>
        <v>566413.59122651094</v>
      </c>
      <c r="J55" s="60">
        <f t="shared" si="1"/>
        <v>2018.9438517474309</v>
      </c>
      <c r="K55" s="60">
        <v>566413.59</v>
      </c>
      <c r="L55" s="60">
        <v>2018.9435019488537</v>
      </c>
      <c r="M55" s="60">
        <f t="shared" si="2"/>
        <v>566413.59</v>
      </c>
      <c r="N55" s="60">
        <f t="shared" si="3"/>
        <v>2018.9438473756136</v>
      </c>
      <c r="O55" s="60">
        <f t="shared" si="4"/>
        <v>186.75230588224426</v>
      </c>
      <c r="P55" s="60">
        <f t="shared" si="5"/>
        <v>1832.1915414933694</v>
      </c>
      <c r="Q55" s="60">
        <f t="shared" si="6"/>
        <v>52393.257075000001</v>
      </c>
      <c r="R55" s="60">
        <f t="shared" si="7"/>
        <v>514020.332925</v>
      </c>
      <c r="S55" s="66">
        <v>1</v>
      </c>
      <c r="T55" s="60">
        <f t="shared" si="8"/>
        <v>52393.257075000001</v>
      </c>
      <c r="U55" s="60">
        <f t="shared" si="9"/>
        <v>514020.332925</v>
      </c>
      <c r="V55" s="60">
        <v>-5.2</v>
      </c>
      <c r="W55" s="60">
        <f t="shared" si="10"/>
        <v>566408.39</v>
      </c>
      <c r="X55" s="21"/>
      <c r="Y55" s="21"/>
    </row>
    <row r="56" spans="1:25" ht="19.5" customHeight="1">
      <c r="A56" s="57" t="s">
        <v>5</v>
      </c>
      <c r="B56" s="57" t="s">
        <v>138</v>
      </c>
      <c r="C56" s="56" t="s">
        <v>131</v>
      </c>
      <c r="D56" s="57" t="s">
        <v>132</v>
      </c>
      <c r="E56" s="64">
        <v>1087.4612490000002</v>
      </c>
      <c r="F56" s="65">
        <v>4.0570000000000004</v>
      </c>
      <c r="G56" s="60">
        <v>403335.88287799997</v>
      </c>
      <c r="H56" s="60">
        <v>2008039.4645787019</v>
      </c>
      <c r="I56" s="60">
        <f t="shared" si="0"/>
        <v>2411375.347456702</v>
      </c>
      <c r="J56" s="60">
        <f t="shared" si="1"/>
        <v>2217.4356554535966</v>
      </c>
      <c r="K56" s="60">
        <v>2411375.35</v>
      </c>
      <c r="L56" s="60">
        <v>2217.4357577079531</v>
      </c>
      <c r="M56" s="60">
        <f t="shared" si="2"/>
        <v>2411375.347456702</v>
      </c>
      <c r="N56" s="60">
        <f t="shared" si="3"/>
        <v>2217.4356554535966</v>
      </c>
      <c r="O56" s="60">
        <f t="shared" si="4"/>
        <v>205.11279812945767</v>
      </c>
      <c r="P56" s="60">
        <f t="shared" si="5"/>
        <v>2012.322857324139</v>
      </c>
      <c r="Q56" s="60">
        <f t="shared" si="6"/>
        <v>223052.21963974493</v>
      </c>
      <c r="R56" s="60">
        <f t="shared" si="7"/>
        <v>2188323.1278169998</v>
      </c>
      <c r="S56" s="66">
        <v>1</v>
      </c>
      <c r="T56" s="60">
        <f t="shared" si="8"/>
        <v>223052.21964</v>
      </c>
      <c r="U56" s="60">
        <f t="shared" si="9"/>
        <v>2188323.1278169998</v>
      </c>
      <c r="V56" s="60">
        <v>0</v>
      </c>
      <c r="W56" s="60">
        <f t="shared" si="10"/>
        <v>2411375.3474569996</v>
      </c>
      <c r="X56" s="21"/>
      <c r="Y56" s="21"/>
    </row>
    <row r="57" spans="1:25" ht="19.5" customHeight="1">
      <c r="A57" s="57" t="s">
        <v>5</v>
      </c>
      <c r="B57" s="57" t="s">
        <v>138</v>
      </c>
      <c r="C57" s="56" t="s">
        <v>152</v>
      </c>
      <c r="D57" s="57" t="s">
        <v>153</v>
      </c>
      <c r="E57" s="64">
        <v>248.12804600000001</v>
      </c>
      <c r="F57" s="65">
        <v>1.147</v>
      </c>
      <c r="G57" s="60">
        <v>89688.573359000002</v>
      </c>
      <c r="H57" s="60">
        <v>564847.67107345606</v>
      </c>
      <c r="I57" s="60">
        <f t="shared" si="0"/>
        <v>654536.24443245609</v>
      </c>
      <c r="J57" s="60">
        <f t="shared" si="1"/>
        <v>2637.8970655838561</v>
      </c>
      <c r="K57" s="60">
        <v>654536.24</v>
      </c>
      <c r="L57" s="60">
        <v>2637.8975367552234</v>
      </c>
      <c r="M57" s="60">
        <f t="shared" si="2"/>
        <v>654536.24</v>
      </c>
      <c r="N57" s="60">
        <f t="shared" si="3"/>
        <v>2637.8970477202724</v>
      </c>
      <c r="O57" s="60">
        <f t="shared" si="4"/>
        <v>244.00547691412521</v>
      </c>
      <c r="P57" s="60">
        <f t="shared" si="5"/>
        <v>2393.8915708061472</v>
      </c>
      <c r="Q57" s="60">
        <f t="shared" si="6"/>
        <v>60544.602200000001</v>
      </c>
      <c r="R57" s="60">
        <f t="shared" si="7"/>
        <v>593991.63780000003</v>
      </c>
      <c r="S57" s="66">
        <v>1</v>
      </c>
      <c r="T57" s="60">
        <f t="shared" si="8"/>
        <v>60544.602200000001</v>
      </c>
      <c r="U57" s="60">
        <f t="shared" si="9"/>
        <v>593991.63780000003</v>
      </c>
      <c r="V57" s="60">
        <v>0</v>
      </c>
      <c r="W57" s="60">
        <f t="shared" si="10"/>
        <v>654536.24</v>
      </c>
      <c r="X57" s="21"/>
      <c r="Y57" s="21"/>
    </row>
    <row r="58" spans="1:25" ht="19.5" customHeight="1">
      <c r="A58" s="57" t="s">
        <v>5</v>
      </c>
      <c r="B58" s="57" t="s">
        <v>138</v>
      </c>
      <c r="C58" s="56" t="s">
        <v>100</v>
      </c>
      <c r="D58" s="57" t="s">
        <v>101</v>
      </c>
      <c r="E58" s="64">
        <v>140.826809</v>
      </c>
      <c r="F58" s="65">
        <v>0.53700000000000003</v>
      </c>
      <c r="G58" s="60">
        <v>10365.582874</v>
      </c>
      <c r="H58" s="60">
        <v>324038.9817479332</v>
      </c>
      <c r="I58" s="60">
        <f t="shared" si="0"/>
        <v>334404.56462193321</v>
      </c>
      <c r="J58" s="60">
        <f t="shared" si="1"/>
        <v>2374.5802876349576</v>
      </c>
      <c r="K58" s="60">
        <v>334404.56</v>
      </c>
      <c r="L58" s="60">
        <v>2374.5264503301851</v>
      </c>
      <c r="M58" s="60">
        <f t="shared" si="2"/>
        <v>334404.56</v>
      </c>
      <c r="N58" s="60">
        <f t="shared" si="3"/>
        <v>2374.5802548149763</v>
      </c>
      <c r="O58" s="60">
        <f t="shared" si="4"/>
        <v>219.64867357038531</v>
      </c>
      <c r="P58" s="60">
        <f t="shared" si="5"/>
        <v>2154.9315812445911</v>
      </c>
      <c r="Q58" s="60">
        <f t="shared" si="6"/>
        <v>30932.4218</v>
      </c>
      <c r="R58" s="60">
        <f t="shared" si="7"/>
        <v>303472.13819999999</v>
      </c>
      <c r="S58" s="66">
        <v>1</v>
      </c>
      <c r="T58" s="60">
        <f t="shared" si="8"/>
        <v>30932.4218</v>
      </c>
      <c r="U58" s="60">
        <f t="shared" si="9"/>
        <v>303472.13819999999</v>
      </c>
      <c r="V58" s="60">
        <v>-2.6</v>
      </c>
      <c r="W58" s="60">
        <f t="shared" si="10"/>
        <v>334401.96000000002</v>
      </c>
      <c r="X58" s="21"/>
      <c r="Y58" s="21"/>
    </row>
    <row r="59" spans="1:25" ht="19.5" customHeight="1">
      <c r="A59" s="57" t="s">
        <v>5</v>
      </c>
      <c r="B59" s="57" t="s">
        <v>138</v>
      </c>
      <c r="C59" s="56" t="s">
        <v>133</v>
      </c>
      <c r="D59" s="57" t="s">
        <v>134</v>
      </c>
      <c r="E59" s="64">
        <v>1052.6989289999999</v>
      </c>
      <c r="F59" s="65">
        <v>3.7320000000000002</v>
      </c>
      <c r="G59" s="60">
        <v>499400.530646</v>
      </c>
      <c r="H59" s="60">
        <v>1945453.3383912472</v>
      </c>
      <c r="I59" s="60">
        <f t="shared" si="0"/>
        <v>2444853.8690372473</v>
      </c>
      <c r="J59" s="60">
        <f t="shared" si="1"/>
        <v>2322.4625785073326</v>
      </c>
      <c r="K59" s="60">
        <v>2444853.87</v>
      </c>
      <c r="L59" s="60">
        <v>2322.4626434016413</v>
      </c>
      <c r="M59" s="60">
        <f t="shared" si="2"/>
        <v>2444853.8690372473</v>
      </c>
      <c r="N59" s="60">
        <f t="shared" si="3"/>
        <v>2322.4625785073326</v>
      </c>
      <c r="O59" s="60">
        <f t="shared" si="4"/>
        <v>214.82778851192828</v>
      </c>
      <c r="P59" s="60">
        <f t="shared" si="5"/>
        <v>2107.6347899954044</v>
      </c>
      <c r="Q59" s="60">
        <f t="shared" si="6"/>
        <v>226148.98288594538</v>
      </c>
      <c r="R59" s="60">
        <f t="shared" si="7"/>
        <v>2218704.8861509999</v>
      </c>
      <c r="S59" s="66">
        <v>1</v>
      </c>
      <c r="T59" s="60">
        <f t="shared" si="8"/>
        <v>226148.98288600001</v>
      </c>
      <c r="U59" s="60">
        <f t="shared" si="9"/>
        <v>2218704.8861509999</v>
      </c>
      <c r="V59" s="60">
        <v>0</v>
      </c>
      <c r="W59" s="60">
        <f t="shared" si="10"/>
        <v>2444853.869037</v>
      </c>
      <c r="X59" s="21"/>
      <c r="Y59" s="21"/>
    </row>
    <row r="60" spans="1:25" ht="19.5" customHeight="1">
      <c r="A60" s="57" t="s">
        <v>5</v>
      </c>
      <c r="B60" s="57" t="s">
        <v>138</v>
      </c>
      <c r="C60" s="56" t="s">
        <v>102</v>
      </c>
      <c r="D60" s="57" t="s">
        <v>103</v>
      </c>
      <c r="E60" s="64">
        <v>86.148460999999998</v>
      </c>
      <c r="F60" s="65">
        <v>0.82299999999999995</v>
      </c>
      <c r="G60" s="60">
        <v>16504.839157999999</v>
      </c>
      <c r="H60" s="60">
        <v>200569.17817597371</v>
      </c>
      <c r="I60" s="60">
        <f t="shared" si="0"/>
        <v>217074.01733397369</v>
      </c>
      <c r="J60" s="60">
        <f t="shared" si="1"/>
        <v>2519.7666309323122</v>
      </c>
      <c r="K60" s="60">
        <v>217074.02</v>
      </c>
      <c r="L60" s="60">
        <v>2519.7655211640363</v>
      </c>
      <c r="M60" s="60">
        <f t="shared" si="2"/>
        <v>217074.01733397369</v>
      </c>
      <c r="N60" s="60">
        <f t="shared" si="3"/>
        <v>2519.7666309323122</v>
      </c>
      <c r="O60" s="60">
        <f t="shared" si="4"/>
        <v>233.07841336123889</v>
      </c>
      <c r="P60" s="60">
        <f t="shared" si="5"/>
        <v>2286.6882175710734</v>
      </c>
      <c r="Q60" s="60">
        <f t="shared" si="6"/>
        <v>20079.346603392565</v>
      </c>
      <c r="R60" s="60">
        <f t="shared" si="7"/>
        <v>196994.67073099999</v>
      </c>
      <c r="S60" s="66">
        <v>1</v>
      </c>
      <c r="T60" s="60">
        <f t="shared" si="8"/>
        <v>20079.346603000002</v>
      </c>
      <c r="U60" s="60">
        <f t="shared" si="9"/>
        <v>196994.67073099999</v>
      </c>
      <c r="V60" s="60">
        <v>-3.34</v>
      </c>
      <c r="W60" s="60">
        <f t="shared" si="10"/>
        <v>217070.67733400001</v>
      </c>
      <c r="X60" s="21"/>
      <c r="Y60" s="21"/>
    </row>
    <row r="61" spans="1:25" ht="19.5" customHeight="1">
      <c r="A61" s="57" t="s">
        <v>5</v>
      </c>
      <c r="B61" s="57" t="s">
        <v>138</v>
      </c>
      <c r="C61" s="56" t="s">
        <v>104</v>
      </c>
      <c r="D61" s="57" t="s">
        <v>105</v>
      </c>
      <c r="E61" s="64">
        <v>1002.885683</v>
      </c>
      <c r="F61" s="65">
        <v>4.0570000000000004</v>
      </c>
      <c r="G61" s="60">
        <v>534363.502675</v>
      </c>
      <c r="H61" s="60">
        <v>1849448.7582119985</v>
      </c>
      <c r="I61" s="60">
        <f t="shared" si="0"/>
        <v>2383812.2608869984</v>
      </c>
      <c r="J61" s="60">
        <f t="shared" si="1"/>
        <v>2376.9531276547282</v>
      </c>
      <c r="K61" s="60">
        <v>2383812.2599999998</v>
      </c>
      <c r="L61" s="60">
        <v>2376.9530864783492</v>
      </c>
      <c r="M61" s="60">
        <f t="shared" si="2"/>
        <v>2383812.2599999998</v>
      </c>
      <c r="N61" s="60">
        <f t="shared" si="3"/>
        <v>2376.9531267702819</v>
      </c>
      <c r="O61" s="60">
        <f t="shared" si="4"/>
        <v>219.86816422625108</v>
      </c>
      <c r="P61" s="60">
        <f t="shared" si="5"/>
        <v>2157.084962544031</v>
      </c>
      <c r="Q61" s="60">
        <f t="shared" si="6"/>
        <v>220502.63404999996</v>
      </c>
      <c r="R61" s="60">
        <f t="shared" si="7"/>
        <v>2163309.6259499998</v>
      </c>
      <c r="S61" s="66">
        <v>1</v>
      </c>
      <c r="T61" s="60">
        <f t="shared" si="8"/>
        <v>220502.63404999999</v>
      </c>
      <c r="U61" s="60">
        <f t="shared" si="9"/>
        <v>2163309.6259499998</v>
      </c>
      <c r="V61" s="60">
        <v>-150.38</v>
      </c>
      <c r="W61" s="60">
        <f t="shared" si="10"/>
        <v>2383661.88</v>
      </c>
      <c r="X61" s="21"/>
      <c r="Y61" s="21"/>
    </row>
    <row r="62" spans="1:25" ht="19.5" customHeight="1">
      <c r="A62" s="57" t="s">
        <v>5</v>
      </c>
      <c r="B62" s="57" t="s">
        <v>138</v>
      </c>
      <c r="C62" s="56" t="s">
        <v>106</v>
      </c>
      <c r="D62" s="57" t="s">
        <v>107</v>
      </c>
      <c r="E62" s="64">
        <v>1709.0382159999999</v>
      </c>
      <c r="F62" s="65">
        <v>5.6820000000000004</v>
      </c>
      <c r="G62" s="60">
        <v>613099.51503300003</v>
      </c>
      <c r="H62" s="60">
        <v>3171484.900281596</v>
      </c>
      <c r="I62" s="60">
        <f t="shared" si="0"/>
        <v>3784584.4153145961</v>
      </c>
      <c r="J62" s="60">
        <f t="shared" si="1"/>
        <v>2214.4527722571397</v>
      </c>
      <c r="K62" s="60">
        <v>3784584.42</v>
      </c>
      <c r="L62" s="60">
        <v>2214.4527957303703</v>
      </c>
      <c r="M62" s="60">
        <f t="shared" si="2"/>
        <v>3784584.4153145961</v>
      </c>
      <c r="N62" s="60">
        <f t="shared" si="3"/>
        <v>2214.4527722571397</v>
      </c>
      <c r="O62" s="60">
        <f t="shared" si="4"/>
        <v>204.83688143378541</v>
      </c>
      <c r="P62" s="60">
        <f t="shared" si="5"/>
        <v>2009.6158908233542</v>
      </c>
      <c r="Q62" s="60">
        <f t="shared" si="6"/>
        <v>350074.05841660011</v>
      </c>
      <c r="R62" s="60">
        <f t="shared" si="7"/>
        <v>3434510.356898</v>
      </c>
      <c r="S62" s="66">
        <v>1</v>
      </c>
      <c r="T62" s="60">
        <f t="shared" si="8"/>
        <v>350074.05841699999</v>
      </c>
      <c r="U62" s="60">
        <f t="shared" si="9"/>
        <v>3434510.356898</v>
      </c>
      <c r="V62" s="60">
        <v>0</v>
      </c>
      <c r="W62" s="60">
        <f t="shared" si="10"/>
        <v>3784584.4153149999</v>
      </c>
      <c r="X62" s="21"/>
      <c r="Y62" s="21"/>
    </row>
    <row r="63" spans="1:25" ht="19.5" customHeight="1">
      <c r="A63" s="57" t="s">
        <v>5</v>
      </c>
      <c r="B63" s="57" t="s">
        <v>138</v>
      </c>
      <c r="C63" s="56" t="s">
        <v>81</v>
      </c>
      <c r="D63" s="57" t="s">
        <v>82</v>
      </c>
      <c r="E63" s="64">
        <v>315.35779200000002</v>
      </c>
      <c r="F63" s="65">
        <v>1.0720000000000001</v>
      </c>
      <c r="G63" s="60">
        <v>18391.646635000001</v>
      </c>
      <c r="H63" s="60">
        <v>723934.22586150083</v>
      </c>
      <c r="I63" s="60">
        <f t="shared" si="0"/>
        <v>742325.87249650084</v>
      </c>
      <c r="J63" s="60">
        <f t="shared" si="1"/>
        <v>2353.9163811005528</v>
      </c>
      <c r="K63" s="60">
        <v>742325.87</v>
      </c>
      <c r="L63" s="60">
        <v>2353.8998921867073</v>
      </c>
      <c r="M63" s="60">
        <f t="shared" si="2"/>
        <v>742325.87</v>
      </c>
      <c r="N63" s="60">
        <f t="shared" si="3"/>
        <v>2353.916373184145</v>
      </c>
      <c r="O63" s="60">
        <f t="shared" si="4"/>
        <v>217.7372645195334</v>
      </c>
      <c r="P63" s="60">
        <f t="shared" si="5"/>
        <v>2136.1791086646117</v>
      </c>
      <c r="Q63" s="60">
        <f t="shared" si="6"/>
        <v>68665.142974999995</v>
      </c>
      <c r="R63" s="60">
        <f t="shared" si="7"/>
        <v>673660.72702500003</v>
      </c>
      <c r="S63" s="66">
        <v>1</v>
      </c>
      <c r="T63" s="60">
        <f t="shared" si="8"/>
        <v>68665.142974999995</v>
      </c>
      <c r="U63" s="60">
        <f t="shared" si="9"/>
        <v>673660.72702500003</v>
      </c>
      <c r="V63" s="60">
        <v>-13.65</v>
      </c>
      <c r="W63" s="60">
        <f t="shared" si="10"/>
        <v>742312.22</v>
      </c>
      <c r="X63" s="21"/>
      <c r="Y63" s="21"/>
    </row>
    <row r="64" spans="1:25" ht="19.5" customHeight="1">
      <c r="A64" s="57" t="s">
        <v>5</v>
      </c>
      <c r="B64" s="57" t="s">
        <v>138</v>
      </c>
      <c r="C64" s="56" t="s">
        <v>108</v>
      </c>
      <c r="D64" s="57" t="s">
        <v>109</v>
      </c>
      <c r="E64" s="64">
        <v>1878.642701</v>
      </c>
      <c r="F64" s="65">
        <v>8.3490000000000002</v>
      </c>
      <c r="G64" s="60">
        <v>1035692.192426</v>
      </c>
      <c r="H64" s="60">
        <v>3450440.9742979463</v>
      </c>
      <c r="I64" s="60">
        <f t="shared" si="0"/>
        <v>4486133.1667239461</v>
      </c>
      <c r="J64" s="60">
        <f t="shared" si="1"/>
        <v>2387.9650794352651</v>
      </c>
      <c r="K64" s="60">
        <v>4486133.17</v>
      </c>
      <c r="L64" s="60">
        <v>2387.9650824502178</v>
      </c>
      <c r="M64" s="60">
        <f t="shared" si="2"/>
        <v>4486133.1667239461</v>
      </c>
      <c r="N64" s="60">
        <f t="shared" si="3"/>
        <v>2387.9650794352651</v>
      </c>
      <c r="O64" s="60">
        <f t="shared" si="4"/>
        <v>220.88676984776203</v>
      </c>
      <c r="P64" s="60">
        <f t="shared" si="5"/>
        <v>2167.0783095875031</v>
      </c>
      <c r="Q64" s="60">
        <f t="shared" si="6"/>
        <v>414967.31792196503</v>
      </c>
      <c r="R64" s="60">
        <f t="shared" si="7"/>
        <v>4071165.8488019998</v>
      </c>
      <c r="S64" s="66">
        <v>1</v>
      </c>
      <c r="T64" s="60">
        <f t="shared" si="8"/>
        <v>414967.31792200002</v>
      </c>
      <c r="U64" s="60">
        <f t="shared" si="9"/>
        <v>4071165.8488019998</v>
      </c>
      <c r="V64" s="60">
        <v>0</v>
      </c>
      <c r="W64" s="60">
        <f t="shared" si="10"/>
        <v>4486133.1667240001</v>
      </c>
      <c r="X64" s="21"/>
      <c r="Y64" s="21"/>
    </row>
    <row r="65" spans="1:25" ht="19.5" customHeight="1">
      <c r="A65" s="57" t="s">
        <v>5</v>
      </c>
      <c r="B65" s="57" t="s">
        <v>138</v>
      </c>
      <c r="C65" s="56" t="s">
        <v>110</v>
      </c>
      <c r="D65" s="57" t="s">
        <v>111</v>
      </c>
      <c r="E65" s="64">
        <v>2671.7215929999998</v>
      </c>
      <c r="F65" s="65">
        <v>7.375</v>
      </c>
      <c r="G65" s="60">
        <v>1152033.917987</v>
      </c>
      <c r="H65" s="60">
        <v>4864075.3099276321</v>
      </c>
      <c r="I65" s="60">
        <f t="shared" si="0"/>
        <v>6016109.2279146323</v>
      </c>
      <c r="J65" s="60">
        <f t="shared" si="1"/>
        <v>2251.7725064157285</v>
      </c>
      <c r="K65" s="60">
        <v>6016109.2300000004</v>
      </c>
      <c r="L65" s="60">
        <v>2251.7725012965425</v>
      </c>
      <c r="M65" s="60">
        <f t="shared" si="2"/>
        <v>6016109.2279146323</v>
      </c>
      <c r="N65" s="60">
        <f t="shared" si="3"/>
        <v>2251.7725064157285</v>
      </c>
      <c r="O65" s="60">
        <f t="shared" si="4"/>
        <v>208.28895684345488</v>
      </c>
      <c r="P65" s="60">
        <f t="shared" si="5"/>
        <v>2043.4835495722737</v>
      </c>
      <c r="Q65" s="60">
        <f t="shared" si="6"/>
        <v>556490.1035821035</v>
      </c>
      <c r="R65" s="60">
        <f t="shared" si="7"/>
        <v>5459619.1243329998</v>
      </c>
      <c r="S65" s="66">
        <v>1</v>
      </c>
      <c r="T65" s="60">
        <f t="shared" si="8"/>
        <v>556490.10358200001</v>
      </c>
      <c r="U65" s="60">
        <f t="shared" si="9"/>
        <v>5459619.1243329998</v>
      </c>
      <c r="V65" s="60">
        <v>0</v>
      </c>
      <c r="W65" s="60">
        <f t="shared" si="10"/>
        <v>6016109.2279150002</v>
      </c>
      <c r="X65" s="21"/>
      <c r="Y65" s="21"/>
    </row>
    <row r="66" spans="1:25" ht="19.5" customHeight="1">
      <c r="A66" s="57" t="s">
        <v>5</v>
      </c>
      <c r="B66" s="57" t="s">
        <v>138</v>
      </c>
      <c r="C66" s="56" t="s">
        <v>154</v>
      </c>
      <c r="D66" s="57" t="s">
        <v>155</v>
      </c>
      <c r="E66" s="64">
        <v>1051.4143629999999</v>
      </c>
      <c r="F66" s="65">
        <v>3.7320000000000002</v>
      </c>
      <c r="G66" s="60">
        <v>535661.44544200005</v>
      </c>
      <c r="H66" s="60">
        <v>1952968.6338315345</v>
      </c>
      <c r="I66" s="60">
        <f t="shared" si="0"/>
        <v>2488630.0792735345</v>
      </c>
      <c r="J66" s="60">
        <f t="shared" si="1"/>
        <v>2366.9355934730888</v>
      </c>
      <c r="K66" s="60">
        <v>2488630.08</v>
      </c>
      <c r="L66" s="60">
        <v>2366.9355108699297</v>
      </c>
      <c r="M66" s="60">
        <f t="shared" si="2"/>
        <v>2488630.0792735345</v>
      </c>
      <c r="N66" s="60">
        <f t="shared" si="3"/>
        <v>2366.9355934730888</v>
      </c>
      <c r="O66" s="60">
        <f t="shared" si="4"/>
        <v>218.9415423962607</v>
      </c>
      <c r="P66" s="60">
        <f t="shared" si="5"/>
        <v>2147.9940510768283</v>
      </c>
      <c r="Q66" s="60">
        <f t="shared" si="6"/>
        <v>230198.2823328019</v>
      </c>
      <c r="R66" s="60">
        <f t="shared" si="7"/>
        <v>2258431.796941</v>
      </c>
      <c r="S66" s="66">
        <v>1</v>
      </c>
      <c r="T66" s="60">
        <f t="shared" si="8"/>
        <v>230198.28233300001</v>
      </c>
      <c r="U66" s="60">
        <f t="shared" si="9"/>
        <v>2258431.796941</v>
      </c>
      <c r="V66" s="60">
        <v>-206.34</v>
      </c>
      <c r="W66" s="60">
        <f t="shared" si="10"/>
        <v>2488423.7392740003</v>
      </c>
      <c r="X66" s="21"/>
      <c r="Y66" s="21"/>
    </row>
    <row r="67" spans="1:25" ht="19.5" customHeight="1">
      <c r="A67" s="57" t="s">
        <v>5</v>
      </c>
      <c r="B67" s="57" t="s">
        <v>138</v>
      </c>
      <c r="C67" s="56" t="s">
        <v>135</v>
      </c>
      <c r="D67" s="57" t="s">
        <v>136</v>
      </c>
      <c r="E67" s="64">
        <v>120.54164</v>
      </c>
      <c r="F67" s="65">
        <v>0.53700000000000003</v>
      </c>
      <c r="G67" s="60">
        <v>7684.3667949999999</v>
      </c>
      <c r="H67" s="60">
        <v>278821.19070707558</v>
      </c>
      <c r="I67" s="60">
        <f t="shared" si="0"/>
        <v>286505.55750207556</v>
      </c>
      <c r="J67" s="60">
        <f t="shared" si="1"/>
        <v>2376.8181476714235</v>
      </c>
      <c r="K67" s="60">
        <v>286505.56</v>
      </c>
      <c r="L67" s="60">
        <v>2376.8189571069238</v>
      </c>
      <c r="M67" s="60">
        <f t="shared" si="2"/>
        <v>286505.55750207556</v>
      </c>
      <c r="N67" s="60">
        <f t="shared" si="3"/>
        <v>2376.8181476714235</v>
      </c>
      <c r="O67" s="60">
        <f t="shared" si="4"/>
        <v>219.85567865960667</v>
      </c>
      <c r="P67" s="60">
        <f t="shared" si="5"/>
        <v>2156.9624690118167</v>
      </c>
      <c r="Q67" s="60">
        <f t="shared" si="6"/>
        <v>26501.76406894199</v>
      </c>
      <c r="R67" s="60">
        <f t="shared" si="7"/>
        <v>260003.79343300001</v>
      </c>
      <c r="S67" s="66">
        <v>1</v>
      </c>
      <c r="T67" s="60">
        <f t="shared" si="8"/>
        <v>26501.764069000001</v>
      </c>
      <c r="U67" s="60">
        <f t="shared" si="9"/>
        <v>260003.79343300001</v>
      </c>
      <c r="V67" s="60">
        <v>0</v>
      </c>
      <c r="W67" s="60">
        <f t="shared" si="10"/>
        <v>286505.55750200001</v>
      </c>
      <c r="X67" s="21"/>
      <c r="Y67" s="21"/>
    </row>
    <row r="68" spans="1:25" ht="19.5" customHeight="1">
      <c r="A68" s="57" t="s">
        <v>5</v>
      </c>
      <c r="B68" s="57" t="s">
        <v>182</v>
      </c>
      <c r="C68" s="56" t="s">
        <v>172</v>
      </c>
      <c r="D68" s="57" t="s">
        <v>201</v>
      </c>
      <c r="E68" s="64">
        <v>34.23516</v>
      </c>
      <c r="F68" s="65">
        <v>0.89100000000000001</v>
      </c>
      <c r="G68" s="60">
        <v>293667.98371200002</v>
      </c>
      <c r="H68" s="60">
        <v>71139.414740822496</v>
      </c>
      <c r="I68" s="60">
        <f t="shared" si="0"/>
        <v>364807.39845282253</v>
      </c>
      <c r="J68" s="60">
        <f t="shared" si="1"/>
        <v>10655.927953975461</v>
      </c>
      <c r="K68" s="60">
        <v>364654.34</v>
      </c>
      <c r="L68" s="60">
        <v>10674.424132429784</v>
      </c>
      <c r="M68" s="60">
        <f t="shared" si="2"/>
        <v>364654.34</v>
      </c>
      <c r="N68" s="60">
        <f t="shared" si="3"/>
        <v>10651.457156911199</v>
      </c>
      <c r="O68" s="60">
        <f t="shared" si="4"/>
        <v>985.25978701428596</v>
      </c>
      <c r="P68" s="60">
        <f t="shared" si="5"/>
        <v>9666.1973698969141</v>
      </c>
      <c r="Q68" s="60">
        <f t="shared" si="6"/>
        <v>33730.526450000005</v>
      </c>
      <c r="R68" s="60">
        <f t="shared" si="7"/>
        <v>330923.81355000002</v>
      </c>
      <c r="S68" s="66">
        <v>1</v>
      </c>
      <c r="T68" s="60">
        <f t="shared" si="8"/>
        <v>33730.526449999998</v>
      </c>
      <c r="U68" s="60">
        <f t="shared" si="9"/>
        <v>330923.81355000002</v>
      </c>
      <c r="V68" s="60">
        <v>-647.05999999999995</v>
      </c>
      <c r="W68" s="60">
        <f t="shared" si="10"/>
        <v>364007.28</v>
      </c>
      <c r="X68" s="21"/>
      <c r="Y68" s="21"/>
    </row>
    <row r="69" spans="1:25" ht="19.5" customHeight="1">
      <c r="A69" s="57" t="s">
        <v>5</v>
      </c>
      <c r="B69" s="57" t="s">
        <v>182</v>
      </c>
      <c r="C69" s="56" t="s">
        <v>173</v>
      </c>
      <c r="D69" s="57" t="s">
        <v>202</v>
      </c>
      <c r="E69" s="64">
        <v>843.60667599999999</v>
      </c>
      <c r="F69" s="65">
        <v>3.8719999999999999</v>
      </c>
      <c r="G69" s="60">
        <v>473784.34735200001</v>
      </c>
      <c r="H69" s="60">
        <v>1714319.1608916265</v>
      </c>
      <c r="I69" s="60">
        <f t="shared" ref="I69:I89" si="11">SUM(G69:H69)</f>
        <v>2188103.5082436264</v>
      </c>
      <c r="J69" s="60">
        <f t="shared" ref="J69:J89" si="12">IF(E69=0,0,I69/E69)</f>
        <v>2593.7484499513685</v>
      </c>
      <c r="K69" s="60">
        <v>2188103.52</v>
      </c>
      <c r="L69" s="60">
        <v>2593.7483900969492</v>
      </c>
      <c r="M69" s="60">
        <f t="shared" ref="M69:M89" si="13">MIN(I69,K69)</f>
        <v>2188103.5082436264</v>
      </c>
      <c r="N69" s="60">
        <f t="shared" ref="N69:N89" si="14">IF(E69=0,0,M69/E69)</f>
        <v>2593.7484499513685</v>
      </c>
      <c r="O69" s="60">
        <f t="shared" ref="O69:O89" si="15">N69*9.25%</f>
        <v>239.92173162050159</v>
      </c>
      <c r="P69" s="60">
        <f t="shared" ref="P69:P89" si="16">N69-O69</f>
        <v>2353.8267183308667</v>
      </c>
      <c r="Q69" s="60">
        <f t="shared" ref="Q69:Q89" si="17">E69*O69</f>
        <v>202399.57451253544</v>
      </c>
      <c r="R69" s="60">
        <f t="shared" ref="R69:R89" si="18">ROUND(E69*P69,6)</f>
        <v>1985703.9337309999</v>
      </c>
      <c r="S69" s="66">
        <v>1</v>
      </c>
      <c r="T69" s="60">
        <f t="shared" ref="T69:T89" si="19">ROUND(Q69*S69,6)</f>
        <v>202399.574513</v>
      </c>
      <c r="U69" s="60">
        <f t="shared" ref="U69:U89" si="20">R69</f>
        <v>1985703.9337309999</v>
      </c>
      <c r="V69" s="60">
        <v>0</v>
      </c>
      <c r="W69" s="60">
        <f t="shared" ref="W69:W89" si="21">SUM(T69:V69)</f>
        <v>2188103.5082439999</v>
      </c>
      <c r="X69" s="21"/>
      <c r="Y69" s="21"/>
    </row>
    <row r="70" spans="1:25" ht="19.5" customHeight="1">
      <c r="A70" s="57" t="s">
        <v>5</v>
      </c>
      <c r="B70" s="57" t="s">
        <v>182</v>
      </c>
      <c r="C70" s="56" t="s">
        <v>167</v>
      </c>
      <c r="D70" s="57" t="s">
        <v>203</v>
      </c>
      <c r="E70" s="64">
        <v>1243.8683270000001</v>
      </c>
      <c r="F70" s="65">
        <v>4.9279999999999999</v>
      </c>
      <c r="G70" s="60">
        <v>668449.95914499997</v>
      </c>
      <c r="H70" s="60">
        <v>2523646.570639438</v>
      </c>
      <c r="I70" s="60">
        <f t="shared" si="11"/>
        <v>3192096.5297844382</v>
      </c>
      <c r="J70" s="60">
        <f t="shared" si="12"/>
        <v>2566.2656251431649</v>
      </c>
      <c r="K70" s="60">
        <v>3192096.53</v>
      </c>
      <c r="L70" s="60">
        <v>2566.2656810210533</v>
      </c>
      <c r="M70" s="60">
        <f t="shared" si="13"/>
        <v>3192096.5297844382</v>
      </c>
      <c r="N70" s="60">
        <f t="shared" si="14"/>
        <v>2566.2656251431649</v>
      </c>
      <c r="O70" s="60">
        <f t="shared" si="15"/>
        <v>237.37957032574275</v>
      </c>
      <c r="P70" s="60">
        <f t="shared" si="16"/>
        <v>2328.8860548174221</v>
      </c>
      <c r="Q70" s="60">
        <f t="shared" si="17"/>
        <v>295268.92900506052</v>
      </c>
      <c r="R70" s="60">
        <f t="shared" si="18"/>
        <v>2896827.6007790002</v>
      </c>
      <c r="S70" s="66">
        <v>1</v>
      </c>
      <c r="T70" s="60">
        <f t="shared" si="19"/>
        <v>295268.92900499998</v>
      </c>
      <c r="U70" s="60">
        <f t="shared" si="20"/>
        <v>2896827.6007790002</v>
      </c>
      <c r="V70" s="60">
        <v>-581.6</v>
      </c>
      <c r="W70" s="60">
        <f t="shared" si="21"/>
        <v>3191514.9297839999</v>
      </c>
      <c r="X70" s="21"/>
      <c r="Y70" s="21"/>
    </row>
    <row r="71" spans="1:25" ht="19.5" customHeight="1">
      <c r="A71" s="57" t="s">
        <v>5</v>
      </c>
      <c r="B71" s="57" t="s">
        <v>182</v>
      </c>
      <c r="C71" s="56" t="s">
        <v>174</v>
      </c>
      <c r="D71" s="57" t="s">
        <v>204</v>
      </c>
      <c r="E71" s="64">
        <v>2677.590432</v>
      </c>
      <c r="F71" s="65">
        <v>8.4480000000000004</v>
      </c>
      <c r="G71" s="60">
        <v>824316.219331</v>
      </c>
      <c r="H71" s="60">
        <v>5673095.263835202</v>
      </c>
      <c r="I71" s="60">
        <f t="shared" si="11"/>
        <v>6497411.483166202</v>
      </c>
      <c r="J71" s="60">
        <f t="shared" si="12"/>
        <v>2426.5889978972714</v>
      </c>
      <c r="K71" s="60">
        <v>6497411.4800000004</v>
      </c>
      <c r="L71" s="60">
        <v>2426.5890257150609</v>
      </c>
      <c r="M71" s="60">
        <f t="shared" si="13"/>
        <v>6497411.4800000004</v>
      </c>
      <c r="N71" s="60">
        <f t="shared" si="14"/>
        <v>2426.5889967147896</v>
      </c>
      <c r="O71" s="60">
        <f t="shared" si="15"/>
        <v>224.45948219611805</v>
      </c>
      <c r="P71" s="60">
        <f t="shared" si="16"/>
        <v>2202.1295145186714</v>
      </c>
      <c r="Q71" s="60">
        <f t="shared" si="17"/>
        <v>601010.56189999997</v>
      </c>
      <c r="R71" s="60">
        <f t="shared" si="18"/>
        <v>5896400.9181000004</v>
      </c>
      <c r="S71" s="66">
        <v>1</v>
      </c>
      <c r="T71" s="60">
        <f t="shared" si="19"/>
        <v>601010.56189999997</v>
      </c>
      <c r="U71" s="60">
        <f t="shared" si="20"/>
        <v>5896400.9181000004</v>
      </c>
      <c r="V71" s="60">
        <v>0</v>
      </c>
      <c r="W71" s="60">
        <f t="shared" si="21"/>
        <v>6497411.4800000004</v>
      </c>
      <c r="X71" s="21"/>
      <c r="Y71" s="21"/>
    </row>
    <row r="72" spans="1:25" ht="19.5" customHeight="1">
      <c r="A72" s="57" t="s">
        <v>5</v>
      </c>
      <c r="B72" s="57" t="s">
        <v>144</v>
      </c>
      <c r="C72" s="56" t="s">
        <v>175</v>
      </c>
      <c r="D72" s="57" t="s">
        <v>176</v>
      </c>
      <c r="E72" s="64">
        <v>4681.0376210000004</v>
      </c>
      <c r="F72" s="65">
        <v>11.066000000000001</v>
      </c>
      <c r="G72" s="60">
        <v>297422.46922299999</v>
      </c>
      <c r="H72" s="60">
        <v>9956642.602240948</v>
      </c>
      <c r="I72" s="60">
        <f t="shared" si="11"/>
        <v>10254065.071463948</v>
      </c>
      <c r="J72" s="60">
        <f t="shared" si="12"/>
        <v>2190.5538689674945</v>
      </c>
      <c r="K72" s="60">
        <v>10254065.07</v>
      </c>
      <c r="L72" s="60">
        <v>2190.5527553706015</v>
      </c>
      <c r="M72" s="60">
        <f t="shared" si="13"/>
        <v>10254065.07</v>
      </c>
      <c r="N72" s="60">
        <f t="shared" si="14"/>
        <v>2190.5538686547548</v>
      </c>
      <c r="O72" s="60">
        <f t="shared" si="15"/>
        <v>202.6262328505648</v>
      </c>
      <c r="P72" s="60">
        <f t="shared" si="16"/>
        <v>1987.92763580419</v>
      </c>
      <c r="Q72" s="60">
        <f t="shared" si="17"/>
        <v>948501.01897500001</v>
      </c>
      <c r="R72" s="60">
        <f t="shared" si="18"/>
        <v>9305564.0510249995</v>
      </c>
      <c r="S72" s="66">
        <v>1</v>
      </c>
      <c r="T72" s="60">
        <f t="shared" si="19"/>
        <v>948501.01897500001</v>
      </c>
      <c r="U72" s="60">
        <f t="shared" si="20"/>
        <v>9305564.0510249995</v>
      </c>
      <c r="V72" s="60">
        <v>0</v>
      </c>
      <c r="W72" s="60">
        <f t="shared" si="21"/>
        <v>10254065.07</v>
      </c>
      <c r="X72" s="21"/>
      <c r="Y72" s="21"/>
    </row>
    <row r="73" spans="1:25" ht="19.5" customHeight="1">
      <c r="A73" s="57" t="s">
        <v>5</v>
      </c>
      <c r="B73" s="57" t="s">
        <v>138</v>
      </c>
      <c r="C73" s="56" t="s">
        <v>168</v>
      </c>
      <c r="D73" s="57" t="s">
        <v>169</v>
      </c>
      <c r="E73" s="64">
        <v>4042.8873590000003</v>
      </c>
      <c r="F73" s="65">
        <v>11.122</v>
      </c>
      <c r="G73" s="60">
        <v>1444830.0813869999</v>
      </c>
      <c r="H73" s="60">
        <v>7442674.5455183964</v>
      </c>
      <c r="I73" s="60">
        <f t="shared" si="11"/>
        <v>8887504.6269053966</v>
      </c>
      <c r="J73" s="60">
        <f t="shared" si="12"/>
        <v>2198.306269186709</v>
      </c>
      <c r="K73" s="60">
        <v>8887504.6300000008</v>
      </c>
      <c r="L73" s="60">
        <v>2198.304833918311</v>
      </c>
      <c r="M73" s="60">
        <f t="shared" si="13"/>
        <v>8887504.6269053966</v>
      </c>
      <c r="N73" s="60">
        <f t="shared" si="14"/>
        <v>2198.306269186709</v>
      </c>
      <c r="O73" s="60">
        <f t="shared" si="15"/>
        <v>203.34332989977057</v>
      </c>
      <c r="P73" s="60">
        <f t="shared" si="16"/>
        <v>1994.9629392869383</v>
      </c>
      <c r="Q73" s="60">
        <f t="shared" si="17"/>
        <v>822094.17798874923</v>
      </c>
      <c r="R73" s="60">
        <f t="shared" si="18"/>
        <v>8065410.4489169996</v>
      </c>
      <c r="S73" s="66">
        <v>1</v>
      </c>
      <c r="T73" s="60">
        <f t="shared" si="19"/>
        <v>822094.17798899999</v>
      </c>
      <c r="U73" s="60">
        <f t="shared" si="20"/>
        <v>8065410.4489169996</v>
      </c>
      <c r="V73" s="60">
        <v>-14317.62</v>
      </c>
      <c r="W73" s="60">
        <f t="shared" si="21"/>
        <v>8873187.0069060009</v>
      </c>
      <c r="X73" s="21"/>
      <c r="Y73" s="21"/>
    </row>
    <row r="74" spans="1:25" ht="19.5" customHeight="1">
      <c r="A74" s="57" t="s">
        <v>5</v>
      </c>
      <c r="B74" s="57" t="s">
        <v>182</v>
      </c>
      <c r="C74" s="56" t="s">
        <v>177</v>
      </c>
      <c r="D74" s="57" t="s">
        <v>205</v>
      </c>
      <c r="E74" s="64">
        <v>167.212942</v>
      </c>
      <c r="F74" s="65">
        <v>1.4079999999999999</v>
      </c>
      <c r="G74" s="60">
        <v>213598.14509199999</v>
      </c>
      <c r="H74" s="60">
        <v>341146.75827970234</v>
      </c>
      <c r="I74" s="60">
        <f t="shared" si="11"/>
        <v>554744.9033717023</v>
      </c>
      <c r="J74" s="60">
        <f t="shared" si="12"/>
        <v>3317.5954967152143</v>
      </c>
      <c r="K74" s="60">
        <v>554744.89</v>
      </c>
      <c r="L74" s="60">
        <v>3317.5962500500859</v>
      </c>
      <c r="M74" s="60">
        <f t="shared" si="13"/>
        <v>554744.89</v>
      </c>
      <c r="N74" s="60">
        <f t="shared" si="14"/>
        <v>3317.5954167471082</v>
      </c>
      <c r="O74" s="60">
        <f t="shared" si="15"/>
        <v>306.87757604910752</v>
      </c>
      <c r="P74" s="60">
        <f t="shared" si="16"/>
        <v>3010.7178406980006</v>
      </c>
      <c r="Q74" s="60">
        <f t="shared" si="17"/>
        <v>51313.902325000003</v>
      </c>
      <c r="R74" s="60">
        <f t="shared" si="18"/>
        <v>503430.98767499998</v>
      </c>
      <c r="S74" s="66">
        <v>1</v>
      </c>
      <c r="T74" s="60">
        <f t="shared" si="19"/>
        <v>51313.902325000003</v>
      </c>
      <c r="U74" s="60">
        <f t="shared" si="20"/>
        <v>503430.98767499998</v>
      </c>
      <c r="V74" s="60">
        <v>-927.88</v>
      </c>
      <c r="W74" s="60">
        <f t="shared" si="21"/>
        <v>553817.01</v>
      </c>
      <c r="X74" s="21"/>
      <c r="Y74" s="21"/>
    </row>
    <row r="75" spans="1:25" ht="19.5" customHeight="1">
      <c r="A75" s="57" t="s">
        <v>5</v>
      </c>
      <c r="B75" s="57" t="s">
        <v>182</v>
      </c>
      <c r="C75" s="56" t="s">
        <v>179</v>
      </c>
      <c r="D75" s="57" t="s">
        <v>16</v>
      </c>
      <c r="E75" s="64">
        <v>9650.5562719999998</v>
      </c>
      <c r="F75" s="65">
        <v>21.222999999999999</v>
      </c>
      <c r="G75" s="60">
        <v>1870581.486331</v>
      </c>
      <c r="H75" s="60">
        <v>19472260.831209432</v>
      </c>
      <c r="I75" s="60">
        <f t="shared" si="11"/>
        <v>21342842.317540433</v>
      </c>
      <c r="J75" s="60">
        <f t="shared" si="12"/>
        <v>2211.5660192008086</v>
      </c>
      <c r="K75" s="60">
        <v>21342842.32</v>
      </c>
      <c r="L75" s="60">
        <v>2211.5651651303137</v>
      </c>
      <c r="M75" s="60">
        <f t="shared" si="13"/>
        <v>21342842.317540433</v>
      </c>
      <c r="N75" s="60">
        <f t="shared" si="14"/>
        <v>2211.5660192008086</v>
      </c>
      <c r="O75" s="60">
        <f t="shared" si="15"/>
        <v>204.5698567760748</v>
      </c>
      <c r="P75" s="60">
        <f t="shared" si="16"/>
        <v>2006.9961624247337</v>
      </c>
      <c r="Q75" s="60">
        <f t="shared" si="17"/>
        <v>1974212.9143724903</v>
      </c>
      <c r="R75" s="60">
        <f t="shared" si="18"/>
        <v>19368629.403168</v>
      </c>
      <c r="S75" s="66">
        <v>1</v>
      </c>
      <c r="T75" s="60">
        <f t="shared" si="19"/>
        <v>1974212.9143719999</v>
      </c>
      <c r="U75" s="60">
        <f t="shared" si="20"/>
        <v>19368629.403168</v>
      </c>
      <c r="V75" s="60">
        <v>-11750.75</v>
      </c>
      <c r="W75" s="60">
        <f t="shared" si="21"/>
        <v>21331091.567540001</v>
      </c>
      <c r="X75" s="21"/>
      <c r="Y75" s="21"/>
    </row>
    <row r="76" spans="1:25" ht="19.5" customHeight="1">
      <c r="A76" s="57" t="s">
        <v>5</v>
      </c>
      <c r="B76" s="57" t="s">
        <v>182</v>
      </c>
      <c r="C76" s="56" t="s">
        <v>180</v>
      </c>
      <c r="D76" s="57" t="s">
        <v>206</v>
      </c>
      <c r="E76" s="64">
        <v>63.135364000000003</v>
      </c>
      <c r="F76" s="65">
        <v>0.89100000000000001</v>
      </c>
      <c r="G76" s="60">
        <v>195150.619997</v>
      </c>
      <c r="H76" s="60">
        <v>131369.40173066637</v>
      </c>
      <c r="I76" s="60">
        <f t="shared" si="11"/>
        <v>326520.02172766638</v>
      </c>
      <c r="J76" s="60">
        <f t="shared" si="12"/>
        <v>5171.7452951988425</v>
      </c>
      <c r="K76" s="60">
        <v>326520.01</v>
      </c>
      <c r="L76" s="60">
        <v>5171.7421604994979</v>
      </c>
      <c r="M76" s="60">
        <f t="shared" si="13"/>
        <v>326520.01</v>
      </c>
      <c r="N76" s="60">
        <f t="shared" si="14"/>
        <v>5171.745109444526</v>
      </c>
      <c r="O76" s="60">
        <f t="shared" si="15"/>
        <v>478.38642262361867</v>
      </c>
      <c r="P76" s="60">
        <f t="shared" si="16"/>
        <v>4693.3586868209077</v>
      </c>
      <c r="Q76" s="60">
        <f t="shared" si="17"/>
        <v>30203.100925000002</v>
      </c>
      <c r="R76" s="60">
        <f t="shared" si="18"/>
        <v>296316.90907499997</v>
      </c>
      <c r="S76" s="66">
        <v>1</v>
      </c>
      <c r="T76" s="60">
        <f t="shared" si="19"/>
        <v>30203.100924999999</v>
      </c>
      <c r="U76" s="60">
        <f t="shared" si="20"/>
        <v>296316.90907499997</v>
      </c>
      <c r="V76" s="60">
        <v>0</v>
      </c>
      <c r="W76" s="60">
        <f t="shared" si="21"/>
        <v>326520.00999999995</v>
      </c>
      <c r="X76" s="21"/>
      <c r="Y76" s="21"/>
    </row>
    <row r="77" spans="1:25" ht="19.5" customHeight="1">
      <c r="A77" s="57" t="s">
        <v>5</v>
      </c>
      <c r="B77" s="57" t="s">
        <v>182</v>
      </c>
      <c r="C77" s="56" t="s">
        <v>181</v>
      </c>
      <c r="D77" s="57" t="s">
        <v>207</v>
      </c>
      <c r="E77" s="64">
        <v>2077.1198410000002</v>
      </c>
      <c r="F77" s="65">
        <v>4.9279999999999999</v>
      </c>
      <c r="G77" s="60">
        <v>602998.26002799999</v>
      </c>
      <c r="H77" s="60">
        <v>4216651.5048400313</v>
      </c>
      <c r="I77" s="60">
        <f t="shared" si="11"/>
        <v>4819649.7648680313</v>
      </c>
      <c r="J77" s="60">
        <f t="shared" si="12"/>
        <v>2320.3522828743858</v>
      </c>
      <c r="K77" s="60">
        <v>4819649.75</v>
      </c>
      <c r="L77" s="60">
        <v>2320.3523215175169</v>
      </c>
      <c r="M77" s="60">
        <f t="shared" si="13"/>
        <v>4819649.75</v>
      </c>
      <c r="N77" s="60">
        <f t="shared" si="14"/>
        <v>2320.3522757163819</v>
      </c>
      <c r="O77" s="60">
        <f t="shared" si="15"/>
        <v>214.63258550376531</v>
      </c>
      <c r="P77" s="60">
        <f t="shared" si="16"/>
        <v>2105.7196902126166</v>
      </c>
      <c r="Q77" s="60">
        <f t="shared" si="17"/>
        <v>445817.60187499993</v>
      </c>
      <c r="R77" s="60">
        <f t="shared" si="18"/>
        <v>4373832.1481250003</v>
      </c>
      <c r="S77" s="66">
        <v>1</v>
      </c>
      <c r="T77" s="60">
        <f t="shared" si="19"/>
        <v>445817.60187499999</v>
      </c>
      <c r="U77" s="60">
        <f t="shared" si="20"/>
        <v>4373832.1481250003</v>
      </c>
      <c r="V77" s="60">
        <v>-537.24</v>
      </c>
      <c r="W77" s="60">
        <f t="shared" si="21"/>
        <v>4819112.51</v>
      </c>
      <c r="X77" s="21"/>
      <c r="Y77" s="21"/>
    </row>
    <row r="78" spans="1:25" ht="19.5" customHeight="1">
      <c r="A78" s="57" t="s">
        <v>5</v>
      </c>
      <c r="B78" s="57" t="s">
        <v>182</v>
      </c>
      <c r="C78" s="56" t="s">
        <v>171</v>
      </c>
      <c r="D78" s="57" t="s">
        <v>208</v>
      </c>
      <c r="E78" s="64">
        <v>111.462799</v>
      </c>
      <c r="F78" s="65">
        <v>0.89100000000000001</v>
      </c>
      <c r="G78" s="60">
        <v>292725.93066999997</v>
      </c>
      <c r="H78" s="60">
        <v>233173.66680142409</v>
      </c>
      <c r="I78" s="60">
        <f t="shared" si="11"/>
        <v>525899.59747142403</v>
      </c>
      <c r="J78" s="60">
        <f t="shared" si="12"/>
        <v>4718.1624917872732</v>
      </c>
      <c r="K78" s="60">
        <v>525651.98</v>
      </c>
      <c r="L78" s="60">
        <v>4720.9557014093207</v>
      </c>
      <c r="M78" s="60">
        <f t="shared" si="13"/>
        <v>525651.98</v>
      </c>
      <c r="N78" s="60">
        <f t="shared" si="14"/>
        <v>4715.9409660975762</v>
      </c>
      <c r="O78" s="60">
        <f t="shared" si="15"/>
        <v>436.22453936402582</v>
      </c>
      <c r="P78" s="60">
        <f t="shared" si="16"/>
        <v>4279.7164267335502</v>
      </c>
      <c r="Q78" s="60">
        <f t="shared" si="17"/>
        <v>48622.808149999997</v>
      </c>
      <c r="R78" s="60">
        <f t="shared" si="18"/>
        <v>477029.17184999998</v>
      </c>
      <c r="S78" s="66">
        <v>1</v>
      </c>
      <c r="T78" s="60">
        <f t="shared" si="19"/>
        <v>48622.808149999997</v>
      </c>
      <c r="U78" s="60">
        <f t="shared" si="20"/>
        <v>477029.17184999998</v>
      </c>
      <c r="V78" s="60">
        <v>0</v>
      </c>
      <c r="W78" s="60">
        <f t="shared" si="21"/>
        <v>525651.98</v>
      </c>
      <c r="X78" s="21"/>
      <c r="Y78" s="21"/>
    </row>
    <row r="79" spans="1:25" ht="19.5" customHeight="1">
      <c r="A79" s="57" t="s">
        <v>5</v>
      </c>
      <c r="B79" s="57" t="s">
        <v>55</v>
      </c>
      <c r="C79" s="56" t="s">
        <v>209</v>
      </c>
      <c r="D79" s="57" t="s">
        <v>210</v>
      </c>
      <c r="E79" s="64">
        <v>187.15953299999998</v>
      </c>
      <c r="F79" s="65">
        <v>0</v>
      </c>
      <c r="G79" s="60">
        <v>9860.9671469999994</v>
      </c>
      <c r="H79" s="60">
        <v>410803.98173071875</v>
      </c>
      <c r="I79" s="60">
        <f t="shared" si="11"/>
        <v>420664.94887771877</v>
      </c>
      <c r="J79" s="60">
        <f t="shared" si="12"/>
        <v>2247.6276903176436</v>
      </c>
      <c r="K79" s="60">
        <v>419592.85</v>
      </c>
      <c r="L79" s="60">
        <v>209796.42499999999</v>
      </c>
      <c r="M79" s="60">
        <f t="shared" si="13"/>
        <v>419592.85</v>
      </c>
      <c r="N79" s="60">
        <f t="shared" si="14"/>
        <v>2241.8994281205009</v>
      </c>
      <c r="O79" s="60">
        <f t="shared" si="15"/>
        <v>207.37569710114633</v>
      </c>
      <c r="P79" s="60">
        <f t="shared" si="16"/>
        <v>2034.5237310193547</v>
      </c>
      <c r="Q79" s="60">
        <f t="shared" si="17"/>
        <v>38812.338624999997</v>
      </c>
      <c r="R79" s="60">
        <f t="shared" si="18"/>
        <v>380780.511375</v>
      </c>
      <c r="S79" s="66">
        <v>1</v>
      </c>
      <c r="T79" s="60">
        <f t="shared" si="19"/>
        <v>38812.338624999997</v>
      </c>
      <c r="U79" s="60">
        <f t="shared" si="20"/>
        <v>380780.511375</v>
      </c>
      <c r="V79" s="60">
        <v>-32.369999999999997</v>
      </c>
      <c r="W79" s="60">
        <f t="shared" si="21"/>
        <v>419560.48</v>
      </c>
      <c r="X79" s="21"/>
      <c r="Y79" s="21"/>
    </row>
    <row r="80" spans="1:25" ht="19.5" customHeight="1">
      <c r="A80" s="57" t="s">
        <v>5</v>
      </c>
      <c r="B80" s="57" t="s">
        <v>55</v>
      </c>
      <c r="C80" s="56" t="s">
        <v>211</v>
      </c>
      <c r="D80" s="57" t="s">
        <v>212</v>
      </c>
      <c r="E80" s="64">
        <v>1822.69875</v>
      </c>
      <c r="F80" s="65">
        <v>6.1749999999999998</v>
      </c>
      <c r="G80" s="60">
        <v>157478.665415</v>
      </c>
      <c r="H80" s="60">
        <v>3740439.5368359713</v>
      </c>
      <c r="I80" s="60">
        <f t="shared" si="11"/>
        <v>3897918.2022509715</v>
      </c>
      <c r="J80" s="60">
        <f t="shared" si="12"/>
        <v>2138.5422041085899</v>
      </c>
      <c r="K80" s="60">
        <v>3897918.2</v>
      </c>
      <c r="L80" s="60">
        <v>1948959.1</v>
      </c>
      <c r="M80" s="60">
        <f t="shared" si="13"/>
        <v>3897918.2</v>
      </c>
      <c r="N80" s="60">
        <f t="shared" si="14"/>
        <v>2138.5422028736234</v>
      </c>
      <c r="O80" s="60">
        <f t="shared" si="15"/>
        <v>197.81515376581015</v>
      </c>
      <c r="P80" s="60">
        <f t="shared" si="16"/>
        <v>1940.7270491078132</v>
      </c>
      <c r="Q80" s="60">
        <f t="shared" si="17"/>
        <v>360557.43349999998</v>
      </c>
      <c r="R80" s="60">
        <f t="shared" si="18"/>
        <v>3537360.7664999999</v>
      </c>
      <c r="S80" s="66">
        <v>1</v>
      </c>
      <c r="T80" s="60">
        <f t="shared" si="19"/>
        <v>360557.43349999998</v>
      </c>
      <c r="U80" s="60">
        <f t="shared" si="20"/>
        <v>3537360.7664999999</v>
      </c>
      <c r="V80" s="60">
        <v>0</v>
      </c>
      <c r="W80" s="60">
        <f t="shared" si="21"/>
        <v>3897918.1999999997</v>
      </c>
      <c r="X80" s="21"/>
      <c r="Y80" s="21"/>
    </row>
    <row r="81" spans="1:25" ht="19.5" customHeight="1">
      <c r="A81" s="57" t="s">
        <v>5</v>
      </c>
      <c r="B81" s="57" t="s">
        <v>55</v>
      </c>
      <c r="C81" s="56" t="s">
        <v>213</v>
      </c>
      <c r="D81" s="57" t="s">
        <v>20</v>
      </c>
      <c r="E81" s="64">
        <v>2631.2151400000002</v>
      </c>
      <c r="F81" s="65">
        <v>8.4499999999999993</v>
      </c>
      <c r="G81" s="60">
        <v>272358.39051699999</v>
      </c>
      <c r="H81" s="60">
        <v>5399631.255344525</v>
      </c>
      <c r="I81" s="60">
        <f t="shared" si="11"/>
        <v>5671989.6458615251</v>
      </c>
      <c r="J81" s="60">
        <f t="shared" si="12"/>
        <v>2155.6540777055293</v>
      </c>
      <c r="K81" s="60">
        <v>5671989.6500000004</v>
      </c>
      <c r="L81" s="60">
        <v>2835994.8250000002</v>
      </c>
      <c r="M81" s="60">
        <f t="shared" si="13"/>
        <v>5671989.6458615251</v>
      </c>
      <c r="N81" s="60">
        <f t="shared" si="14"/>
        <v>2155.6540777055293</v>
      </c>
      <c r="O81" s="60">
        <f t="shared" si="15"/>
        <v>199.39800218776145</v>
      </c>
      <c r="P81" s="60">
        <f t="shared" si="16"/>
        <v>1956.2560755177678</v>
      </c>
      <c r="Q81" s="60">
        <f t="shared" si="17"/>
        <v>524659.04224219115</v>
      </c>
      <c r="R81" s="60">
        <f t="shared" si="18"/>
        <v>5147330.6036189999</v>
      </c>
      <c r="S81" s="66">
        <v>1</v>
      </c>
      <c r="T81" s="60">
        <f t="shared" si="19"/>
        <v>524659.042242</v>
      </c>
      <c r="U81" s="60">
        <f t="shared" si="20"/>
        <v>5147330.6036189999</v>
      </c>
      <c r="V81" s="60">
        <v>-1627.25</v>
      </c>
      <c r="W81" s="60">
        <f t="shared" si="21"/>
        <v>5670362.3958609998</v>
      </c>
      <c r="X81" s="21"/>
      <c r="Y81" s="21"/>
    </row>
    <row r="82" spans="1:25" ht="19.5" customHeight="1">
      <c r="A82" s="57" t="s">
        <v>5</v>
      </c>
      <c r="B82" s="57" t="s">
        <v>55</v>
      </c>
      <c r="C82" s="56" t="s">
        <v>214</v>
      </c>
      <c r="D82" s="57" t="s">
        <v>7</v>
      </c>
      <c r="E82" s="64">
        <v>311.87409000000002</v>
      </c>
      <c r="F82" s="65">
        <v>0</v>
      </c>
      <c r="G82" s="60">
        <v>26977.497286000002</v>
      </c>
      <c r="H82" s="60">
        <v>640010.41134786536</v>
      </c>
      <c r="I82" s="60">
        <f t="shared" si="11"/>
        <v>666987.90863386542</v>
      </c>
      <c r="J82" s="60">
        <f t="shared" si="12"/>
        <v>2138.6448250121239</v>
      </c>
      <c r="K82" s="60">
        <v>617999.89</v>
      </c>
      <c r="L82" s="60">
        <v>308999.94500000001</v>
      </c>
      <c r="M82" s="60">
        <f t="shared" si="13"/>
        <v>617999.89</v>
      </c>
      <c r="N82" s="60">
        <f t="shared" si="14"/>
        <v>1981.5685554385104</v>
      </c>
      <c r="O82" s="60">
        <f t="shared" si="15"/>
        <v>183.29509137806221</v>
      </c>
      <c r="P82" s="60">
        <f t="shared" si="16"/>
        <v>1798.2734640604483</v>
      </c>
      <c r="Q82" s="60">
        <f t="shared" si="17"/>
        <v>57164.989825000004</v>
      </c>
      <c r="R82" s="60">
        <f t="shared" si="18"/>
        <v>560834.90017499996</v>
      </c>
      <c r="S82" s="66">
        <v>1</v>
      </c>
      <c r="T82" s="60">
        <f t="shared" si="19"/>
        <v>57164.989824999997</v>
      </c>
      <c r="U82" s="60">
        <f t="shared" si="20"/>
        <v>560834.90017499996</v>
      </c>
      <c r="V82" s="60">
        <v>-222.8</v>
      </c>
      <c r="W82" s="60">
        <f t="shared" si="21"/>
        <v>617777.08999999985</v>
      </c>
      <c r="X82" s="21"/>
      <c r="Y82" s="21"/>
    </row>
    <row r="83" spans="1:25" ht="19.5" customHeight="1">
      <c r="A83" s="57" t="s">
        <v>5</v>
      </c>
      <c r="B83" s="57" t="s">
        <v>55</v>
      </c>
      <c r="C83" s="56" t="s">
        <v>215</v>
      </c>
      <c r="D83" s="57" t="s">
        <v>9</v>
      </c>
      <c r="E83" s="64">
        <v>288.81202000000002</v>
      </c>
      <c r="F83" s="65">
        <v>0</v>
      </c>
      <c r="G83" s="60">
        <v>17974.004939999999</v>
      </c>
      <c r="H83" s="60">
        <v>592683.73247167771</v>
      </c>
      <c r="I83" s="60">
        <f t="shared" si="11"/>
        <v>610657.73741167772</v>
      </c>
      <c r="J83" s="60">
        <f t="shared" si="12"/>
        <v>2114.3778483031201</v>
      </c>
      <c r="K83" s="60">
        <v>565292.22</v>
      </c>
      <c r="L83" s="60">
        <v>282646.11</v>
      </c>
      <c r="M83" s="60">
        <f t="shared" si="13"/>
        <v>565292.22</v>
      </c>
      <c r="N83" s="60">
        <f t="shared" si="14"/>
        <v>1957.3015693737398</v>
      </c>
      <c r="O83" s="60">
        <f t="shared" si="15"/>
        <v>181.05039516707092</v>
      </c>
      <c r="P83" s="60">
        <f t="shared" si="16"/>
        <v>1776.2511742066688</v>
      </c>
      <c r="Q83" s="60">
        <f t="shared" si="17"/>
        <v>52289.530349999994</v>
      </c>
      <c r="R83" s="60">
        <f t="shared" si="18"/>
        <v>513002.68965000001</v>
      </c>
      <c r="S83" s="66">
        <v>1</v>
      </c>
      <c r="T83" s="60">
        <f t="shared" si="19"/>
        <v>52289.530350000001</v>
      </c>
      <c r="U83" s="60">
        <f t="shared" si="20"/>
        <v>513002.68965000001</v>
      </c>
      <c r="V83" s="60">
        <v>-161.09</v>
      </c>
      <c r="W83" s="60">
        <f t="shared" si="21"/>
        <v>565131.13</v>
      </c>
      <c r="X83" s="21"/>
      <c r="Y83" s="21"/>
    </row>
    <row r="84" spans="1:25" ht="19.5" customHeight="1">
      <c r="A84" s="57" t="s">
        <v>5</v>
      </c>
      <c r="B84" s="57" t="s">
        <v>55</v>
      </c>
      <c r="C84" s="56" t="s">
        <v>216</v>
      </c>
      <c r="D84" s="57" t="s">
        <v>217</v>
      </c>
      <c r="E84" s="64">
        <v>2802.1156800000003</v>
      </c>
      <c r="F84" s="65">
        <v>6.1749999999999998</v>
      </c>
      <c r="G84" s="60">
        <v>238312.21801800001</v>
      </c>
      <c r="H84" s="60">
        <v>5750343.7012068033</v>
      </c>
      <c r="I84" s="60">
        <f t="shared" si="11"/>
        <v>5988655.9192248033</v>
      </c>
      <c r="J84" s="60">
        <f t="shared" si="12"/>
        <v>2137.1908240507769</v>
      </c>
      <c r="K84" s="60">
        <v>5988655.9199999999</v>
      </c>
      <c r="L84" s="60">
        <v>2994327.96</v>
      </c>
      <c r="M84" s="60">
        <f t="shared" si="13"/>
        <v>5988655.9192248033</v>
      </c>
      <c r="N84" s="60">
        <f t="shared" si="14"/>
        <v>2137.1908240507769</v>
      </c>
      <c r="O84" s="60">
        <f t="shared" si="15"/>
        <v>197.69015122469685</v>
      </c>
      <c r="P84" s="60">
        <f t="shared" si="16"/>
        <v>1939.5006728260801</v>
      </c>
      <c r="Q84" s="60">
        <f t="shared" si="17"/>
        <v>553950.67252829426</v>
      </c>
      <c r="R84" s="60">
        <f t="shared" si="18"/>
        <v>5434705.2466970002</v>
      </c>
      <c r="S84" s="66">
        <v>1</v>
      </c>
      <c r="T84" s="60">
        <f t="shared" si="19"/>
        <v>553950.67252799997</v>
      </c>
      <c r="U84" s="60">
        <f t="shared" si="20"/>
        <v>5434705.2466970002</v>
      </c>
      <c r="V84" s="60">
        <v>-1628.28</v>
      </c>
      <c r="W84" s="60">
        <f t="shared" si="21"/>
        <v>5987027.6392249996</v>
      </c>
      <c r="X84" s="21"/>
      <c r="Y84" s="21"/>
    </row>
    <row r="85" spans="1:25" ht="19.5" customHeight="1">
      <c r="A85" s="57" t="s">
        <v>5</v>
      </c>
      <c r="B85" s="57" t="s">
        <v>70</v>
      </c>
      <c r="C85" s="56" t="s">
        <v>218</v>
      </c>
      <c r="D85" s="57" t="s">
        <v>15</v>
      </c>
      <c r="E85" s="64">
        <v>205.52434</v>
      </c>
      <c r="F85" s="65">
        <v>1.1879999999999999</v>
      </c>
      <c r="G85" s="60">
        <v>261038.207452</v>
      </c>
      <c r="H85" s="60">
        <v>423628.26826631051</v>
      </c>
      <c r="I85" s="60">
        <f t="shared" si="11"/>
        <v>684666.47571831057</v>
      </c>
      <c r="J85" s="60">
        <f t="shared" si="12"/>
        <v>3331.3157736855428</v>
      </c>
      <c r="K85" s="60">
        <v>683642.8</v>
      </c>
      <c r="L85" s="60">
        <v>3334.3923772251264</v>
      </c>
      <c r="M85" s="60">
        <f t="shared" si="13"/>
        <v>683642.8</v>
      </c>
      <c r="N85" s="60">
        <f t="shared" si="14"/>
        <v>3326.3349732688598</v>
      </c>
      <c r="O85" s="60">
        <f t="shared" si="15"/>
        <v>307.68598502736955</v>
      </c>
      <c r="P85" s="60">
        <f t="shared" si="16"/>
        <v>3018.6489882414903</v>
      </c>
      <c r="Q85" s="60">
        <f t="shared" si="17"/>
        <v>63236.95900000001</v>
      </c>
      <c r="R85" s="60">
        <f t="shared" si="18"/>
        <v>620405.84100000001</v>
      </c>
      <c r="S85" s="66">
        <v>1</v>
      </c>
      <c r="T85" s="60">
        <f t="shared" si="19"/>
        <v>63236.959000000003</v>
      </c>
      <c r="U85" s="60">
        <f t="shared" si="20"/>
        <v>620405.84100000001</v>
      </c>
      <c r="V85" s="60">
        <v>-2202.71</v>
      </c>
      <c r="W85" s="60">
        <f t="shared" si="21"/>
        <v>681440.09000000008</v>
      </c>
      <c r="X85" s="21"/>
      <c r="Y85" s="21"/>
    </row>
    <row r="86" spans="1:25" ht="19.5" customHeight="1">
      <c r="A86" s="57" t="s">
        <v>5</v>
      </c>
      <c r="B86" s="57" t="s">
        <v>70</v>
      </c>
      <c r="C86" s="56" t="s">
        <v>219</v>
      </c>
      <c r="D86" s="57" t="s">
        <v>220</v>
      </c>
      <c r="E86" s="64">
        <v>275.94531000000001</v>
      </c>
      <c r="F86" s="65">
        <v>0.89100000000000001</v>
      </c>
      <c r="G86" s="60">
        <v>195778.65624499999</v>
      </c>
      <c r="H86" s="60">
        <v>568578.3240679506</v>
      </c>
      <c r="I86" s="60">
        <f t="shared" si="11"/>
        <v>764356.98031295056</v>
      </c>
      <c r="J86" s="60">
        <f t="shared" si="12"/>
        <v>2769.9582222033437</v>
      </c>
      <c r="K86" s="60">
        <v>764356.98</v>
      </c>
      <c r="L86" s="60">
        <v>2769.9583214499398</v>
      </c>
      <c r="M86" s="60">
        <f t="shared" si="13"/>
        <v>764356.98</v>
      </c>
      <c r="N86" s="60">
        <f t="shared" si="14"/>
        <v>2769.9582210692402</v>
      </c>
      <c r="O86" s="60">
        <f t="shared" si="15"/>
        <v>256.2211354489047</v>
      </c>
      <c r="P86" s="60">
        <f t="shared" si="16"/>
        <v>2513.7370856203356</v>
      </c>
      <c r="Q86" s="60">
        <f t="shared" si="17"/>
        <v>70703.020650000006</v>
      </c>
      <c r="R86" s="60">
        <f t="shared" si="18"/>
        <v>693653.95935000002</v>
      </c>
      <c r="S86" s="66">
        <v>1</v>
      </c>
      <c r="T86" s="60">
        <f t="shared" si="19"/>
        <v>70703.020650000006</v>
      </c>
      <c r="U86" s="60">
        <f t="shared" si="20"/>
        <v>693653.95935000002</v>
      </c>
      <c r="V86" s="60">
        <v>-1202.24</v>
      </c>
      <c r="W86" s="60">
        <f t="shared" si="21"/>
        <v>763154.74</v>
      </c>
      <c r="X86" s="21"/>
      <c r="Y86" s="21"/>
    </row>
    <row r="87" spans="1:25" ht="19.5" customHeight="1">
      <c r="A87" s="57" t="s">
        <v>5</v>
      </c>
      <c r="B87" s="57" t="s">
        <v>221</v>
      </c>
      <c r="C87" s="56" t="s">
        <v>222</v>
      </c>
      <c r="D87" s="57" t="s">
        <v>223</v>
      </c>
      <c r="E87" s="64">
        <v>383.68234000000001</v>
      </c>
      <c r="F87" s="65">
        <v>1.4079999999999999</v>
      </c>
      <c r="G87" s="60">
        <v>172285.21733799999</v>
      </c>
      <c r="H87" s="60">
        <v>782508.11458402895</v>
      </c>
      <c r="I87" s="60">
        <f t="shared" si="11"/>
        <v>954793.33192202891</v>
      </c>
      <c r="J87" s="60">
        <f t="shared" si="12"/>
        <v>2488.4995538810281</v>
      </c>
      <c r="K87" s="60">
        <v>954793.33</v>
      </c>
      <c r="L87" s="60">
        <v>2488.4998083049441</v>
      </c>
      <c r="M87" s="60">
        <f t="shared" si="13"/>
        <v>954793.33</v>
      </c>
      <c r="N87" s="60">
        <f t="shared" si="14"/>
        <v>2488.4995488716004</v>
      </c>
      <c r="O87" s="60">
        <f t="shared" si="15"/>
        <v>230.18620827062304</v>
      </c>
      <c r="P87" s="60">
        <f t="shared" si="16"/>
        <v>2258.3133406009774</v>
      </c>
      <c r="Q87" s="60">
        <f t="shared" si="17"/>
        <v>88318.383025000003</v>
      </c>
      <c r="R87" s="60">
        <f t="shared" si="18"/>
        <v>866474.94697499997</v>
      </c>
      <c r="S87" s="66">
        <v>1</v>
      </c>
      <c r="T87" s="60">
        <f t="shared" si="19"/>
        <v>88318.383025000003</v>
      </c>
      <c r="U87" s="60">
        <f t="shared" si="20"/>
        <v>866474.94697499997</v>
      </c>
      <c r="V87" s="60">
        <v>-708.22</v>
      </c>
      <c r="W87" s="60">
        <f t="shared" si="21"/>
        <v>954085.11</v>
      </c>
      <c r="X87" s="21"/>
      <c r="Y87" s="21"/>
    </row>
    <row r="88" spans="1:25" ht="19.5" customHeight="1">
      <c r="A88" s="57" t="s">
        <v>5</v>
      </c>
      <c r="B88" s="57" t="s">
        <v>138</v>
      </c>
      <c r="C88" s="56" t="s">
        <v>224</v>
      </c>
      <c r="D88" s="57" t="s">
        <v>14</v>
      </c>
      <c r="E88" s="64">
        <v>59.607084</v>
      </c>
      <c r="F88" s="65">
        <v>1.4119999999999999</v>
      </c>
      <c r="G88" s="60">
        <v>61584.611959000002</v>
      </c>
      <c r="H88" s="60">
        <v>113141.12806156065</v>
      </c>
      <c r="I88" s="60">
        <f t="shared" si="11"/>
        <v>174725.74002056065</v>
      </c>
      <c r="J88" s="60">
        <f t="shared" si="12"/>
        <v>2931.2915226747318</v>
      </c>
      <c r="K88" s="60">
        <v>174725.74</v>
      </c>
      <c r="L88" s="60">
        <v>2931.1481295084718</v>
      </c>
      <c r="M88" s="60">
        <f t="shared" si="13"/>
        <v>174725.74</v>
      </c>
      <c r="N88" s="60">
        <f t="shared" si="14"/>
        <v>2931.2915223297955</v>
      </c>
      <c r="O88" s="60">
        <f t="shared" si="15"/>
        <v>271.14446581550607</v>
      </c>
      <c r="P88" s="60">
        <f t="shared" si="16"/>
        <v>2660.1470565142895</v>
      </c>
      <c r="Q88" s="60">
        <f t="shared" si="17"/>
        <v>16162.130949999999</v>
      </c>
      <c r="R88" s="60">
        <f t="shared" si="18"/>
        <v>158563.60905</v>
      </c>
      <c r="S88" s="66">
        <v>1</v>
      </c>
      <c r="T88" s="60">
        <f t="shared" si="19"/>
        <v>16162.130950000001</v>
      </c>
      <c r="U88" s="60">
        <f t="shared" si="20"/>
        <v>158563.60905</v>
      </c>
      <c r="V88" s="60">
        <v>-163.16</v>
      </c>
      <c r="W88" s="60">
        <f t="shared" si="21"/>
        <v>174562.58</v>
      </c>
      <c r="X88" s="21"/>
      <c r="Y88" s="21"/>
    </row>
    <row r="89" spans="1:25" ht="19.5" customHeight="1">
      <c r="A89" s="57" t="s">
        <v>5</v>
      </c>
      <c r="B89" s="57" t="s">
        <v>138</v>
      </c>
      <c r="C89" s="56" t="s">
        <v>225</v>
      </c>
      <c r="D89" s="57" t="s">
        <v>226</v>
      </c>
      <c r="E89" s="64">
        <v>106.28317299999999</v>
      </c>
      <c r="F89" s="65">
        <v>1.45</v>
      </c>
      <c r="G89" s="60">
        <v>71328.755537999998</v>
      </c>
      <c r="H89" s="60">
        <v>222081.15534790899</v>
      </c>
      <c r="I89" s="60">
        <f t="shared" si="11"/>
        <v>293409.91088590899</v>
      </c>
      <c r="J89" s="60">
        <f t="shared" si="12"/>
        <v>2760.6431253789256</v>
      </c>
      <c r="K89" s="60">
        <v>293409.90999999997</v>
      </c>
      <c r="L89" s="60">
        <v>2760.6424157345655</v>
      </c>
      <c r="M89" s="60">
        <f t="shared" si="13"/>
        <v>293409.90999999997</v>
      </c>
      <c r="N89" s="60">
        <f t="shared" si="14"/>
        <v>2760.6431170435608</v>
      </c>
      <c r="O89" s="60">
        <f t="shared" si="15"/>
        <v>255.35948832652937</v>
      </c>
      <c r="P89" s="60">
        <f t="shared" si="16"/>
        <v>2505.2836287170312</v>
      </c>
      <c r="Q89" s="60">
        <f t="shared" si="17"/>
        <v>27140.416675</v>
      </c>
      <c r="R89" s="60">
        <f t="shared" si="18"/>
        <v>266269.49332499999</v>
      </c>
      <c r="S89" s="66">
        <v>1</v>
      </c>
      <c r="T89" s="60">
        <f t="shared" si="19"/>
        <v>27140.416675</v>
      </c>
      <c r="U89" s="60">
        <f t="shared" si="20"/>
        <v>266269.49332499999</v>
      </c>
      <c r="V89" s="60">
        <v>0</v>
      </c>
      <c r="W89" s="60">
        <f t="shared" si="21"/>
        <v>293409.90999999997</v>
      </c>
      <c r="X89" s="21"/>
      <c r="Y89" s="21"/>
    </row>
    <row r="90" spans="1:25" s="35" customFormat="1" ht="19.5" customHeight="1">
      <c r="A90" s="30"/>
      <c r="B90" s="30"/>
      <c r="C90" s="30"/>
      <c r="D90" s="30"/>
      <c r="E90" s="31">
        <f>SUBTOTAL(9,E4:E89)</f>
        <v>147439.85645599998</v>
      </c>
      <c r="F90" s="32"/>
      <c r="G90" s="33"/>
      <c r="H90" s="33"/>
      <c r="I90" s="33"/>
      <c r="J90" s="33"/>
      <c r="K90" s="31">
        <f>SUBTOTAL(9,K4:K89)</f>
        <v>344615473</v>
      </c>
      <c r="L90" s="31"/>
      <c r="M90" s="31">
        <f>SUBTOTAL(9,M4:M89)</f>
        <v>342986237.83788127</v>
      </c>
      <c r="N90" s="31"/>
      <c r="O90" s="31"/>
      <c r="P90" s="31"/>
      <c r="Q90" s="31"/>
      <c r="R90" s="34"/>
      <c r="S90" s="34"/>
      <c r="T90" s="31">
        <f>SUBTOTAL(9,T4:T89)</f>
        <v>31726227.000003994</v>
      </c>
      <c r="U90" s="31">
        <f>SUBTOTAL(9,U4:U89)</f>
        <v>311260010.83787805</v>
      </c>
      <c r="V90" s="31">
        <f>SUBTOTAL(9,V4:V89)</f>
        <v>-87721.14</v>
      </c>
      <c r="W90" s="31">
        <f>SUBTOTAL(9,W4:W89)</f>
        <v>342898516.69788194</v>
      </c>
    </row>
    <row r="91" spans="1:25" s="28" customFormat="1" ht="19.5" customHeight="1"/>
    <row r="92" spans="1:25" s="28" customFormat="1" ht="19.5" customHeight="1">
      <c r="A92" s="36" t="s">
        <v>231</v>
      </c>
      <c r="W92" s="37"/>
    </row>
    <row r="93" spans="1:25" s="28" customFormat="1" ht="56">
      <c r="A93" s="55" t="s">
        <v>236</v>
      </c>
      <c r="B93" s="55" t="s">
        <v>284</v>
      </c>
      <c r="C93" s="55" t="s">
        <v>4</v>
      </c>
      <c r="D93" s="55" t="s">
        <v>237</v>
      </c>
      <c r="E93" s="55" t="s">
        <v>264</v>
      </c>
      <c r="F93" s="55" t="s">
        <v>300</v>
      </c>
      <c r="G93" s="55" t="s">
        <v>333</v>
      </c>
      <c r="H93" s="55" t="s">
        <v>332</v>
      </c>
      <c r="I93" s="55" t="s">
        <v>334</v>
      </c>
      <c r="J93" s="55" t="s">
        <v>287</v>
      </c>
      <c r="K93" s="55" t="s">
        <v>335</v>
      </c>
      <c r="L93" s="55" t="s">
        <v>336</v>
      </c>
      <c r="M93" s="55" t="s">
        <v>337</v>
      </c>
      <c r="N93" s="55" t="s">
        <v>338</v>
      </c>
      <c r="O93" s="63" t="s">
        <v>339</v>
      </c>
      <c r="P93" s="63" t="s">
        <v>340</v>
      </c>
      <c r="Q93" s="63" t="s">
        <v>341</v>
      </c>
      <c r="R93" s="63" t="s">
        <v>342</v>
      </c>
      <c r="S93" s="63" t="s">
        <v>330</v>
      </c>
      <c r="T93" s="63" t="s">
        <v>343</v>
      </c>
      <c r="U93" s="63" t="s">
        <v>344</v>
      </c>
      <c r="V93" s="63" t="s">
        <v>298</v>
      </c>
      <c r="W93" s="37"/>
    </row>
    <row r="94" spans="1:25" ht="19.5" customHeight="1">
      <c r="A94" s="57" t="s">
        <v>5</v>
      </c>
      <c r="B94" s="57" t="s">
        <v>182</v>
      </c>
      <c r="C94" s="56" t="s">
        <v>156</v>
      </c>
      <c r="D94" s="57" t="s">
        <v>183</v>
      </c>
      <c r="E94" s="64">
        <v>221.15827999999999</v>
      </c>
      <c r="F94" s="64">
        <v>0.89100000000000001</v>
      </c>
      <c r="G94" s="67"/>
      <c r="H94" s="67"/>
      <c r="I94" s="67"/>
      <c r="J94" s="68"/>
      <c r="K94" s="69">
        <v>33927.199999999997</v>
      </c>
      <c r="L94" s="69">
        <v>0</v>
      </c>
      <c r="M94" s="69">
        <f>K94</f>
        <v>33927.199999999997</v>
      </c>
      <c r="N94" s="69">
        <f>ROUND(IF(E94=0,0,M94/E94),6)</f>
        <v>153.40687199999999</v>
      </c>
      <c r="O94" s="60">
        <f>ROUND(N94*0.0925,6)</f>
        <v>14.190136000000001</v>
      </c>
      <c r="P94" s="60">
        <f t="shared" ref="P94" si="22">N94-O94</f>
        <v>139.216736</v>
      </c>
      <c r="Q94" s="60">
        <f>E94*O94</f>
        <v>3138.2660707260802</v>
      </c>
      <c r="R94" s="60">
        <f>ROUND(E94*P94,12)</f>
        <v>30788.933880974098</v>
      </c>
      <c r="S94" s="70">
        <v>1</v>
      </c>
      <c r="T94" s="60">
        <f t="shared" ref="T94" si="23">ROUND(Q94*S94,6)</f>
        <v>3138.266071</v>
      </c>
      <c r="U94" s="60">
        <f t="shared" ref="U94" si="24">R94</f>
        <v>30788.933880974098</v>
      </c>
      <c r="V94" s="60">
        <f>ROUND(SUM(T94:U94),6)</f>
        <v>33927.199952000003</v>
      </c>
    </row>
    <row r="95" spans="1:25" ht="19.5" customHeight="1">
      <c r="A95" s="57" t="s">
        <v>5</v>
      </c>
      <c r="B95" s="57" t="s">
        <v>182</v>
      </c>
      <c r="C95" s="56" t="s">
        <v>83</v>
      </c>
      <c r="D95" s="57" t="s">
        <v>184</v>
      </c>
      <c r="E95" s="64">
        <v>1390.7608130000001</v>
      </c>
      <c r="F95" s="64">
        <v>3.8719999999999999</v>
      </c>
      <c r="G95" s="67"/>
      <c r="H95" s="67"/>
      <c r="I95" s="67"/>
      <c r="J95" s="68"/>
      <c r="K95" s="69">
        <v>261626.07</v>
      </c>
      <c r="L95" s="69">
        <v>0</v>
      </c>
      <c r="M95" s="69">
        <f t="shared" ref="M95:M158" si="25">K95</f>
        <v>261626.07</v>
      </c>
      <c r="N95" s="69">
        <f t="shared" ref="N95:N158" si="26">ROUND(IF(E95=0,0,M95/E95),6)</f>
        <v>188.11722900000001</v>
      </c>
      <c r="O95" s="60">
        <f t="shared" ref="O95:O158" si="27">ROUND(N95*0.0925,6)</f>
        <v>17.400843999999999</v>
      </c>
      <c r="P95" s="60">
        <f t="shared" ref="P95:P158" si="28">N95-O95</f>
        <v>170.716385</v>
      </c>
      <c r="Q95" s="60">
        <f t="shared" ref="Q95:Q158" si="29">E95*O95</f>
        <v>24200.411948326171</v>
      </c>
      <c r="R95" s="60">
        <f t="shared" ref="R95:R158" si="30">ROUND(E95*P95,12)</f>
        <v>237425.65839502099</v>
      </c>
      <c r="S95" s="70">
        <v>1</v>
      </c>
      <c r="T95" s="60">
        <f t="shared" ref="T95:T158" si="31">ROUND(Q95*S95,6)</f>
        <v>24200.411948000001</v>
      </c>
      <c r="U95" s="60">
        <f t="shared" ref="U95:U158" si="32">R95</f>
        <v>237425.65839502099</v>
      </c>
      <c r="V95" s="60">
        <f t="shared" ref="V95:V158" si="33">ROUND(SUM(T95:U95),6)</f>
        <v>261626.070343</v>
      </c>
    </row>
    <row r="96" spans="1:25" ht="19.5" customHeight="1">
      <c r="A96" s="57" t="s">
        <v>5</v>
      </c>
      <c r="B96" s="57" t="s">
        <v>138</v>
      </c>
      <c r="C96" s="56" t="s">
        <v>170</v>
      </c>
      <c r="D96" s="57" t="s">
        <v>166</v>
      </c>
      <c r="E96" s="64">
        <v>101.45027899999999</v>
      </c>
      <c r="F96" s="64">
        <v>0.70799999999999996</v>
      </c>
      <c r="G96" s="67"/>
      <c r="H96" s="67"/>
      <c r="I96" s="67"/>
      <c r="J96" s="68"/>
      <c r="K96" s="69">
        <v>17202.400000000001</v>
      </c>
      <c r="L96" s="69">
        <v>0</v>
      </c>
      <c r="M96" s="69">
        <f t="shared" si="25"/>
        <v>17202.400000000001</v>
      </c>
      <c r="N96" s="69">
        <f t="shared" si="26"/>
        <v>169.56483700000001</v>
      </c>
      <c r="O96" s="60">
        <f t="shared" si="27"/>
        <v>15.684747</v>
      </c>
      <c r="P96" s="60">
        <f t="shared" si="28"/>
        <v>153.88009000000002</v>
      </c>
      <c r="Q96" s="60">
        <f t="shared" si="29"/>
        <v>1591.2219591944129</v>
      </c>
      <c r="R96" s="60">
        <f t="shared" si="30"/>
        <v>15611.178063045099</v>
      </c>
      <c r="S96" s="70">
        <v>1</v>
      </c>
      <c r="T96" s="60">
        <f t="shared" si="31"/>
        <v>1591.221959</v>
      </c>
      <c r="U96" s="60">
        <f t="shared" si="32"/>
        <v>15611.178063045099</v>
      </c>
      <c r="V96" s="60">
        <f t="shared" si="33"/>
        <v>17202.400022000002</v>
      </c>
    </row>
    <row r="97" spans="1:22" ht="19.5" customHeight="1">
      <c r="A97" s="57" t="s">
        <v>5</v>
      </c>
      <c r="B97" s="57" t="s">
        <v>182</v>
      </c>
      <c r="C97" s="56" t="s">
        <v>84</v>
      </c>
      <c r="D97" s="57" t="s">
        <v>185</v>
      </c>
      <c r="E97" s="64">
        <v>4463.8103890000002</v>
      </c>
      <c r="F97" s="64">
        <v>10.59</v>
      </c>
      <c r="G97" s="67"/>
      <c r="H97" s="67"/>
      <c r="I97" s="67"/>
      <c r="J97" s="68"/>
      <c r="K97" s="69">
        <v>710013.34</v>
      </c>
      <c r="L97" s="69">
        <v>0</v>
      </c>
      <c r="M97" s="69">
        <f t="shared" si="25"/>
        <v>710013.34</v>
      </c>
      <c r="N97" s="69">
        <f t="shared" si="26"/>
        <v>159.059924</v>
      </c>
      <c r="O97" s="60">
        <f t="shared" si="27"/>
        <v>14.713043000000001</v>
      </c>
      <c r="P97" s="60">
        <f t="shared" si="28"/>
        <v>144.346881</v>
      </c>
      <c r="Q97" s="60">
        <f t="shared" si="29"/>
        <v>65676.234197203739</v>
      </c>
      <c r="R97" s="60">
        <f t="shared" si="30"/>
        <v>644337.10702754697</v>
      </c>
      <c r="S97" s="70">
        <v>1</v>
      </c>
      <c r="T97" s="60">
        <f t="shared" si="31"/>
        <v>65676.234196999998</v>
      </c>
      <c r="U97" s="60">
        <f t="shared" si="32"/>
        <v>644337.10702754697</v>
      </c>
      <c r="V97" s="60">
        <f t="shared" si="33"/>
        <v>710013.34122499998</v>
      </c>
    </row>
    <row r="98" spans="1:22" ht="19.5" customHeight="1">
      <c r="A98" s="57" t="s">
        <v>5</v>
      </c>
      <c r="B98" s="57" t="s">
        <v>138</v>
      </c>
      <c r="C98" s="56" t="s">
        <v>64</v>
      </c>
      <c r="D98" s="57" t="s">
        <v>139</v>
      </c>
      <c r="E98" s="64">
        <v>1714.2848549999999</v>
      </c>
      <c r="F98" s="64">
        <v>4.0570000000000004</v>
      </c>
      <c r="G98" s="67"/>
      <c r="H98" s="67"/>
      <c r="I98" s="67"/>
      <c r="J98" s="68"/>
      <c r="K98" s="69">
        <v>236685.67</v>
      </c>
      <c r="L98" s="69">
        <v>0</v>
      </c>
      <c r="M98" s="69">
        <f t="shared" si="25"/>
        <v>236685.67</v>
      </c>
      <c r="N98" s="69">
        <f t="shared" si="26"/>
        <v>138.06671</v>
      </c>
      <c r="O98" s="60">
        <f t="shared" si="27"/>
        <v>12.771171000000001</v>
      </c>
      <c r="P98" s="60">
        <f t="shared" si="28"/>
        <v>125.29553900000001</v>
      </c>
      <c r="Q98" s="60">
        <f t="shared" si="29"/>
        <v>21893.425025915203</v>
      </c>
      <c r="R98" s="60">
        <f t="shared" si="30"/>
        <v>214792.244906762</v>
      </c>
      <c r="S98" s="70">
        <v>1</v>
      </c>
      <c r="T98" s="60">
        <f t="shared" si="31"/>
        <v>21893.425026000001</v>
      </c>
      <c r="U98" s="60">
        <f t="shared" si="32"/>
        <v>214792.244906762</v>
      </c>
      <c r="V98" s="60">
        <f t="shared" si="33"/>
        <v>236685.669933</v>
      </c>
    </row>
    <row r="99" spans="1:22" ht="19.5" customHeight="1">
      <c r="A99" s="57" t="s">
        <v>5</v>
      </c>
      <c r="B99" s="57" t="s">
        <v>182</v>
      </c>
      <c r="C99" s="56" t="s">
        <v>58</v>
      </c>
      <c r="D99" s="57" t="s">
        <v>186</v>
      </c>
      <c r="E99" s="64">
        <v>266.47452700000002</v>
      </c>
      <c r="F99" s="64">
        <v>1.4079999999999999</v>
      </c>
      <c r="G99" s="67"/>
      <c r="H99" s="67"/>
      <c r="I99" s="67"/>
      <c r="J99" s="68"/>
      <c r="K99" s="69">
        <v>61271.08</v>
      </c>
      <c r="L99" s="69">
        <v>0</v>
      </c>
      <c r="M99" s="69">
        <f t="shared" si="25"/>
        <v>61271.08</v>
      </c>
      <c r="N99" s="69">
        <f t="shared" si="26"/>
        <v>229.932222</v>
      </c>
      <c r="O99" s="60">
        <f t="shared" si="27"/>
        <v>21.268730999999999</v>
      </c>
      <c r="P99" s="60">
        <f t="shared" si="28"/>
        <v>208.66349099999999</v>
      </c>
      <c r="Q99" s="60">
        <f t="shared" si="29"/>
        <v>5667.5750331152376</v>
      </c>
      <c r="R99" s="60">
        <f t="shared" si="30"/>
        <v>55603.505066393802</v>
      </c>
      <c r="S99" s="70">
        <v>1</v>
      </c>
      <c r="T99" s="60">
        <f t="shared" si="31"/>
        <v>5667.5750330000001</v>
      </c>
      <c r="U99" s="60">
        <f t="shared" si="32"/>
        <v>55603.505066393802</v>
      </c>
      <c r="V99" s="60">
        <f t="shared" si="33"/>
        <v>61271.080098999999</v>
      </c>
    </row>
    <row r="100" spans="1:22" ht="19.5" customHeight="1">
      <c r="A100" s="57" t="s">
        <v>5</v>
      </c>
      <c r="B100" s="57" t="s">
        <v>182</v>
      </c>
      <c r="C100" s="56" t="s">
        <v>112</v>
      </c>
      <c r="D100" s="57" t="s">
        <v>187</v>
      </c>
      <c r="E100" s="64">
        <v>2912.4187790000001</v>
      </c>
      <c r="F100" s="64">
        <v>9.5310000000000006</v>
      </c>
      <c r="G100" s="67"/>
      <c r="H100" s="67"/>
      <c r="I100" s="67"/>
      <c r="J100" s="68"/>
      <c r="K100" s="69">
        <v>577499.64</v>
      </c>
      <c r="L100" s="69">
        <v>0</v>
      </c>
      <c r="M100" s="69">
        <f t="shared" si="25"/>
        <v>577499.64</v>
      </c>
      <c r="N100" s="69">
        <f t="shared" si="26"/>
        <v>198.288668</v>
      </c>
      <c r="O100" s="60">
        <f t="shared" si="27"/>
        <v>18.341702000000002</v>
      </c>
      <c r="P100" s="60">
        <f t="shared" si="28"/>
        <v>179.946966</v>
      </c>
      <c r="Q100" s="60">
        <f t="shared" si="29"/>
        <v>53418.717343621865</v>
      </c>
      <c r="R100" s="60">
        <f t="shared" si="30"/>
        <v>524080.923002475</v>
      </c>
      <c r="S100" s="70">
        <v>1</v>
      </c>
      <c r="T100" s="60">
        <f t="shared" si="31"/>
        <v>53418.717343999997</v>
      </c>
      <c r="U100" s="60">
        <f t="shared" si="32"/>
        <v>524080.923002475</v>
      </c>
      <c r="V100" s="60">
        <f t="shared" si="33"/>
        <v>577499.64034599997</v>
      </c>
    </row>
    <row r="101" spans="1:22" ht="19.5" customHeight="1">
      <c r="A101" s="57" t="s">
        <v>5</v>
      </c>
      <c r="B101" s="57" t="s">
        <v>182</v>
      </c>
      <c r="C101" s="56" t="s">
        <v>145</v>
      </c>
      <c r="D101" s="57" t="s">
        <v>188</v>
      </c>
      <c r="E101" s="64">
        <v>2887.5871389999998</v>
      </c>
      <c r="F101" s="64">
        <v>6.3360000000000003</v>
      </c>
      <c r="G101" s="67"/>
      <c r="H101" s="67"/>
      <c r="I101" s="67"/>
      <c r="J101" s="68"/>
      <c r="K101" s="69">
        <v>438268.38</v>
      </c>
      <c r="L101" s="69">
        <v>0</v>
      </c>
      <c r="M101" s="69">
        <f t="shared" si="25"/>
        <v>438268.38</v>
      </c>
      <c r="N101" s="69">
        <f t="shared" si="26"/>
        <v>151.77667700000001</v>
      </c>
      <c r="O101" s="60">
        <f t="shared" si="27"/>
        <v>14.039343000000001</v>
      </c>
      <c r="P101" s="60">
        <f t="shared" si="28"/>
        <v>137.737334</v>
      </c>
      <c r="Q101" s="60">
        <f t="shared" si="29"/>
        <v>40539.826286809672</v>
      </c>
      <c r="R101" s="60">
        <f t="shared" si="30"/>
        <v>397728.55421854701</v>
      </c>
      <c r="S101" s="70">
        <v>1</v>
      </c>
      <c r="T101" s="60">
        <f t="shared" si="31"/>
        <v>40539.826287000004</v>
      </c>
      <c r="U101" s="60">
        <f t="shared" si="32"/>
        <v>397728.55421854701</v>
      </c>
      <c r="V101" s="60">
        <f t="shared" si="33"/>
        <v>438268.38050600002</v>
      </c>
    </row>
    <row r="102" spans="1:22" ht="19.5" customHeight="1">
      <c r="A102" s="57" t="s">
        <v>5</v>
      </c>
      <c r="B102" s="57" t="s">
        <v>182</v>
      </c>
      <c r="C102" s="56" t="s">
        <v>157</v>
      </c>
      <c r="D102" s="57" t="s">
        <v>189</v>
      </c>
      <c r="E102" s="64">
        <v>868.05116899999996</v>
      </c>
      <c r="F102" s="64">
        <v>2.8159999999999998</v>
      </c>
      <c r="G102" s="67"/>
      <c r="H102" s="67"/>
      <c r="I102" s="67"/>
      <c r="J102" s="68"/>
      <c r="K102" s="69">
        <v>174486.39</v>
      </c>
      <c r="L102" s="69">
        <v>0</v>
      </c>
      <c r="M102" s="69">
        <f t="shared" si="25"/>
        <v>174486.39</v>
      </c>
      <c r="N102" s="69">
        <f t="shared" si="26"/>
        <v>201.00933699999999</v>
      </c>
      <c r="O102" s="60">
        <f t="shared" si="27"/>
        <v>18.593364000000001</v>
      </c>
      <c r="P102" s="60">
        <f t="shared" si="28"/>
        <v>182.41597299999998</v>
      </c>
      <c r="Q102" s="60">
        <f t="shared" si="29"/>
        <v>16139.991355842516</v>
      </c>
      <c r="R102" s="60">
        <f t="shared" si="30"/>
        <v>158346.39860692201</v>
      </c>
      <c r="S102" s="70">
        <v>1</v>
      </c>
      <c r="T102" s="60">
        <f t="shared" si="31"/>
        <v>16139.991356</v>
      </c>
      <c r="U102" s="60">
        <f t="shared" si="32"/>
        <v>158346.39860692201</v>
      </c>
      <c r="V102" s="60">
        <f t="shared" si="33"/>
        <v>174486.38996299999</v>
      </c>
    </row>
    <row r="103" spans="1:22" ht="19.5" customHeight="1">
      <c r="A103" s="57" t="s">
        <v>5</v>
      </c>
      <c r="B103" s="57" t="s">
        <v>182</v>
      </c>
      <c r="C103" s="56" t="s">
        <v>146</v>
      </c>
      <c r="D103" s="57" t="s">
        <v>190</v>
      </c>
      <c r="E103" s="64">
        <v>50.851039</v>
      </c>
      <c r="F103" s="64">
        <v>0.89100000000000001</v>
      </c>
      <c r="G103" s="67"/>
      <c r="H103" s="67"/>
      <c r="I103" s="67"/>
      <c r="J103" s="68"/>
      <c r="K103" s="69">
        <v>21324.13</v>
      </c>
      <c r="L103" s="69">
        <v>0</v>
      </c>
      <c r="M103" s="69">
        <f t="shared" si="25"/>
        <v>21324.13</v>
      </c>
      <c r="N103" s="69">
        <f t="shared" si="26"/>
        <v>419.34502099999997</v>
      </c>
      <c r="O103" s="60">
        <f t="shared" si="27"/>
        <v>38.789414000000001</v>
      </c>
      <c r="P103" s="60">
        <f t="shared" si="28"/>
        <v>380.55560699999995</v>
      </c>
      <c r="Q103" s="60">
        <f t="shared" si="29"/>
        <v>1972.482004101146</v>
      </c>
      <c r="R103" s="60">
        <f t="shared" si="30"/>
        <v>19351.648013225698</v>
      </c>
      <c r="S103" s="70">
        <v>1</v>
      </c>
      <c r="T103" s="60">
        <f t="shared" si="31"/>
        <v>1972.482004</v>
      </c>
      <c r="U103" s="60">
        <f t="shared" si="32"/>
        <v>19351.648013225698</v>
      </c>
      <c r="V103" s="60">
        <f t="shared" si="33"/>
        <v>21324.130016999999</v>
      </c>
    </row>
    <row r="104" spans="1:22" ht="19.5" customHeight="1">
      <c r="A104" s="57" t="s">
        <v>5</v>
      </c>
      <c r="B104" s="57" t="s">
        <v>182</v>
      </c>
      <c r="C104" s="56" t="s">
        <v>147</v>
      </c>
      <c r="D104" s="57" t="s">
        <v>191</v>
      </c>
      <c r="E104" s="64">
        <v>809.72552800000005</v>
      </c>
      <c r="F104" s="64">
        <v>3.1680000000000001</v>
      </c>
      <c r="G104" s="67"/>
      <c r="H104" s="67"/>
      <c r="I104" s="67"/>
      <c r="J104" s="68"/>
      <c r="K104" s="69">
        <v>158328.71</v>
      </c>
      <c r="L104" s="69">
        <v>0</v>
      </c>
      <c r="M104" s="69">
        <f t="shared" si="25"/>
        <v>158328.71</v>
      </c>
      <c r="N104" s="69">
        <f t="shared" si="26"/>
        <v>195.53380100000001</v>
      </c>
      <c r="O104" s="60">
        <f t="shared" si="27"/>
        <v>18.086877000000001</v>
      </c>
      <c r="P104" s="60">
        <f t="shared" si="28"/>
        <v>177.44692400000002</v>
      </c>
      <c r="Q104" s="60">
        <f t="shared" si="29"/>
        <v>14645.406028696058</v>
      </c>
      <c r="R104" s="60">
        <f t="shared" si="30"/>
        <v>143683.30422787601</v>
      </c>
      <c r="S104" s="70">
        <v>1</v>
      </c>
      <c r="T104" s="60">
        <f t="shared" si="31"/>
        <v>14645.406029</v>
      </c>
      <c r="U104" s="60">
        <f t="shared" si="32"/>
        <v>143683.30422787601</v>
      </c>
      <c r="V104" s="60">
        <f t="shared" si="33"/>
        <v>158328.710257</v>
      </c>
    </row>
    <row r="105" spans="1:22" ht="19.5" customHeight="1">
      <c r="A105" s="57" t="s">
        <v>5</v>
      </c>
      <c r="B105" s="57" t="s">
        <v>182</v>
      </c>
      <c r="C105" s="56" t="s">
        <v>178</v>
      </c>
      <c r="D105" s="57" t="s">
        <v>192</v>
      </c>
      <c r="E105" s="64">
        <v>2761.4298629999998</v>
      </c>
      <c r="F105" s="64">
        <v>5.984</v>
      </c>
      <c r="G105" s="67"/>
      <c r="H105" s="67"/>
      <c r="I105" s="67"/>
      <c r="J105" s="68"/>
      <c r="K105" s="69">
        <v>419120.64000000001</v>
      </c>
      <c r="L105" s="69">
        <v>0</v>
      </c>
      <c r="M105" s="69">
        <f t="shared" si="25"/>
        <v>419120.64000000001</v>
      </c>
      <c r="N105" s="69">
        <f t="shared" si="26"/>
        <v>151.77667400000001</v>
      </c>
      <c r="O105" s="60">
        <f t="shared" si="27"/>
        <v>14.039342</v>
      </c>
      <c r="P105" s="60">
        <f t="shared" si="28"/>
        <v>137.73733200000001</v>
      </c>
      <c r="Q105" s="60">
        <f t="shared" si="29"/>
        <v>38768.65825567014</v>
      </c>
      <c r="R105" s="60">
        <f t="shared" si="30"/>
        <v>380351.98183474602</v>
      </c>
      <c r="S105" s="70">
        <v>1</v>
      </c>
      <c r="T105" s="60">
        <f t="shared" si="31"/>
        <v>38768.658256000002</v>
      </c>
      <c r="U105" s="60">
        <f t="shared" si="32"/>
        <v>380351.98183474602</v>
      </c>
      <c r="V105" s="60">
        <f t="shared" si="33"/>
        <v>419120.64009100001</v>
      </c>
    </row>
    <row r="106" spans="1:22" ht="19.5" customHeight="1">
      <c r="A106" s="57" t="s">
        <v>5</v>
      </c>
      <c r="B106" s="57" t="s">
        <v>182</v>
      </c>
      <c r="C106" s="56" t="s">
        <v>158</v>
      </c>
      <c r="D106" s="57" t="s">
        <v>193</v>
      </c>
      <c r="E106" s="64">
        <v>1212.292222</v>
      </c>
      <c r="F106" s="64">
        <v>2.464</v>
      </c>
      <c r="G106" s="67"/>
      <c r="H106" s="67"/>
      <c r="I106" s="67"/>
      <c r="J106" s="68"/>
      <c r="K106" s="69">
        <v>237818.77</v>
      </c>
      <c r="L106" s="69">
        <v>0</v>
      </c>
      <c r="M106" s="69">
        <f t="shared" si="25"/>
        <v>237818.77</v>
      </c>
      <c r="N106" s="69">
        <f t="shared" si="26"/>
        <v>196.172809</v>
      </c>
      <c r="O106" s="60">
        <f t="shared" si="27"/>
        <v>18.145985</v>
      </c>
      <c r="P106" s="60">
        <f t="shared" si="28"/>
        <v>178.026824</v>
      </c>
      <c r="Q106" s="60">
        <f t="shared" si="29"/>
        <v>21998.236476028669</v>
      </c>
      <c r="R106" s="60">
        <f t="shared" si="30"/>
        <v>215820.534042563</v>
      </c>
      <c r="S106" s="70">
        <v>1</v>
      </c>
      <c r="T106" s="60">
        <f t="shared" si="31"/>
        <v>21998.236475999998</v>
      </c>
      <c r="U106" s="60">
        <f t="shared" si="32"/>
        <v>215820.534042563</v>
      </c>
      <c r="V106" s="60">
        <f t="shared" si="33"/>
        <v>237818.77051900001</v>
      </c>
    </row>
    <row r="107" spans="1:22" ht="19.5" customHeight="1">
      <c r="A107" s="57" t="s">
        <v>5</v>
      </c>
      <c r="B107" s="57" t="s">
        <v>182</v>
      </c>
      <c r="C107" s="56" t="s">
        <v>113</v>
      </c>
      <c r="D107" s="57" t="s">
        <v>194</v>
      </c>
      <c r="E107" s="64">
        <v>1308.749397</v>
      </c>
      <c r="F107" s="64">
        <v>4.2240000000000002</v>
      </c>
      <c r="G107" s="67"/>
      <c r="H107" s="67"/>
      <c r="I107" s="67"/>
      <c r="J107" s="68"/>
      <c r="K107" s="69">
        <v>250139.29</v>
      </c>
      <c r="L107" s="69">
        <v>0</v>
      </c>
      <c r="M107" s="69">
        <f t="shared" si="25"/>
        <v>250139.29</v>
      </c>
      <c r="N107" s="69">
        <f t="shared" si="26"/>
        <v>191.12848500000001</v>
      </c>
      <c r="O107" s="60">
        <f t="shared" si="27"/>
        <v>17.679385</v>
      </c>
      <c r="P107" s="60">
        <f t="shared" si="28"/>
        <v>173.44910000000002</v>
      </c>
      <c r="Q107" s="60">
        <f t="shared" si="29"/>
        <v>23137.884458080847</v>
      </c>
      <c r="R107" s="60">
        <f t="shared" si="30"/>
        <v>227001.40503519299</v>
      </c>
      <c r="S107" s="70">
        <v>1</v>
      </c>
      <c r="T107" s="60">
        <f t="shared" si="31"/>
        <v>23137.884458</v>
      </c>
      <c r="U107" s="60">
        <f t="shared" si="32"/>
        <v>227001.40503519299</v>
      </c>
      <c r="V107" s="60">
        <f t="shared" si="33"/>
        <v>250139.28949299999</v>
      </c>
    </row>
    <row r="108" spans="1:22" ht="19.5" customHeight="1">
      <c r="A108" s="57" t="s">
        <v>5</v>
      </c>
      <c r="B108" s="57" t="s">
        <v>182</v>
      </c>
      <c r="C108" s="56" t="s">
        <v>85</v>
      </c>
      <c r="D108" s="57" t="s">
        <v>195</v>
      </c>
      <c r="E108" s="64">
        <v>73.225346999999999</v>
      </c>
      <c r="F108" s="64">
        <v>0.89100000000000001</v>
      </c>
      <c r="G108" s="67"/>
      <c r="H108" s="67"/>
      <c r="I108" s="67"/>
      <c r="J108" s="68"/>
      <c r="K108" s="69">
        <v>25091.01</v>
      </c>
      <c r="L108" s="69">
        <v>0</v>
      </c>
      <c r="M108" s="69">
        <f t="shared" si="25"/>
        <v>25091.01</v>
      </c>
      <c r="N108" s="69">
        <f t="shared" si="26"/>
        <v>342.65470900000003</v>
      </c>
      <c r="O108" s="60">
        <f t="shared" si="27"/>
        <v>31.695561000000001</v>
      </c>
      <c r="P108" s="60">
        <f t="shared" si="28"/>
        <v>310.95914800000003</v>
      </c>
      <c r="Q108" s="60">
        <f t="shared" si="29"/>
        <v>2320.9184525846672</v>
      </c>
      <c r="R108" s="60">
        <f t="shared" si="30"/>
        <v>22770.091515124401</v>
      </c>
      <c r="S108" s="70">
        <v>1</v>
      </c>
      <c r="T108" s="60">
        <f t="shared" si="31"/>
        <v>2320.9184530000002</v>
      </c>
      <c r="U108" s="60">
        <f t="shared" si="32"/>
        <v>22770.091515124401</v>
      </c>
      <c r="V108" s="60">
        <f t="shared" si="33"/>
        <v>25091.009967999998</v>
      </c>
    </row>
    <row r="109" spans="1:22" ht="19.5" customHeight="1">
      <c r="A109" s="57" t="s">
        <v>5</v>
      </c>
      <c r="B109" s="57" t="s">
        <v>182</v>
      </c>
      <c r="C109" s="56" t="s">
        <v>159</v>
      </c>
      <c r="D109" s="57" t="s">
        <v>196</v>
      </c>
      <c r="E109" s="64">
        <v>1678.8445710000001</v>
      </c>
      <c r="F109" s="64">
        <v>4.9279999999999999</v>
      </c>
      <c r="G109" s="67"/>
      <c r="H109" s="67"/>
      <c r="I109" s="67"/>
      <c r="J109" s="68"/>
      <c r="K109" s="69">
        <v>254809.45</v>
      </c>
      <c r="L109" s="69">
        <v>0</v>
      </c>
      <c r="M109" s="69">
        <f t="shared" si="25"/>
        <v>254809.45</v>
      </c>
      <c r="N109" s="69">
        <f t="shared" si="26"/>
        <v>151.77667700000001</v>
      </c>
      <c r="O109" s="60">
        <f t="shared" si="27"/>
        <v>14.039343000000001</v>
      </c>
      <c r="P109" s="60">
        <f t="shared" si="28"/>
        <v>137.737334</v>
      </c>
      <c r="Q109" s="60">
        <f t="shared" si="29"/>
        <v>23569.874775956854</v>
      </c>
      <c r="R109" s="60">
        <f t="shared" si="30"/>
        <v>231239.57540991399</v>
      </c>
      <c r="S109" s="70">
        <v>1</v>
      </c>
      <c r="T109" s="60">
        <f t="shared" si="31"/>
        <v>23569.874776000001</v>
      </c>
      <c r="U109" s="60">
        <f t="shared" si="32"/>
        <v>231239.57540991399</v>
      </c>
      <c r="V109" s="60">
        <f t="shared" si="33"/>
        <v>254809.450186</v>
      </c>
    </row>
    <row r="110" spans="1:22" ht="19.5" customHeight="1">
      <c r="A110" s="57" t="s">
        <v>5</v>
      </c>
      <c r="B110" s="57" t="s">
        <v>182</v>
      </c>
      <c r="C110" s="56" t="s">
        <v>114</v>
      </c>
      <c r="D110" s="57" t="s">
        <v>197</v>
      </c>
      <c r="E110" s="64">
        <v>8125.8275549999998</v>
      </c>
      <c r="F110" s="64">
        <v>19.062000000000001</v>
      </c>
      <c r="G110" s="67"/>
      <c r="H110" s="67"/>
      <c r="I110" s="67"/>
      <c r="J110" s="68"/>
      <c r="K110" s="69">
        <v>1287733.77</v>
      </c>
      <c r="L110" s="69">
        <v>0</v>
      </c>
      <c r="M110" s="69">
        <f t="shared" si="25"/>
        <v>1287733.77</v>
      </c>
      <c r="N110" s="69">
        <f t="shared" si="26"/>
        <v>158.47416899999999</v>
      </c>
      <c r="O110" s="60">
        <f t="shared" si="27"/>
        <v>14.658861</v>
      </c>
      <c r="P110" s="60">
        <f t="shared" si="28"/>
        <v>143.81530799999999</v>
      </c>
      <c r="Q110" s="60">
        <f t="shared" si="29"/>
        <v>119115.37663871485</v>
      </c>
      <c r="R110" s="60">
        <f t="shared" si="30"/>
        <v>1168618.39257721</v>
      </c>
      <c r="S110" s="70">
        <v>1</v>
      </c>
      <c r="T110" s="60">
        <f t="shared" si="31"/>
        <v>119115.37663899999</v>
      </c>
      <c r="U110" s="60">
        <f t="shared" si="32"/>
        <v>1168618.39257721</v>
      </c>
      <c r="V110" s="60">
        <f t="shared" si="33"/>
        <v>1287733.7692160001</v>
      </c>
    </row>
    <row r="111" spans="1:22" ht="19.5" customHeight="1">
      <c r="A111" s="57" t="s">
        <v>5</v>
      </c>
      <c r="B111" s="57" t="s">
        <v>182</v>
      </c>
      <c r="C111" s="56" t="s">
        <v>61</v>
      </c>
      <c r="D111" s="57" t="s">
        <v>198</v>
      </c>
      <c r="E111" s="64">
        <v>11514.958963999999</v>
      </c>
      <c r="F111" s="64">
        <v>29.652000000000001</v>
      </c>
      <c r="G111" s="67"/>
      <c r="H111" s="67"/>
      <c r="I111" s="67"/>
      <c r="J111" s="68"/>
      <c r="K111" s="69">
        <v>2210672.4</v>
      </c>
      <c r="L111" s="69">
        <v>0</v>
      </c>
      <c r="M111" s="69">
        <f t="shared" si="25"/>
        <v>2210672.4</v>
      </c>
      <c r="N111" s="69">
        <f t="shared" si="26"/>
        <v>191.98265599999999</v>
      </c>
      <c r="O111" s="60">
        <f t="shared" si="27"/>
        <v>17.758396000000001</v>
      </c>
      <c r="P111" s="60">
        <f t="shared" si="28"/>
        <v>174.22425999999999</v>
      </c>
      <c r="Q111" s="60">
        <f t="shared" si="29"/>
        <v>204487.20120646176</v>
      </c>
      <c r="R111" s="60">
        <f t="shared" si="30"/>
        <v>2006185.20443327</v>
      </c>
      <c r="S111" s="70">
        <v>1</v>
      </c>
      <c r="T111" s="60">
        <f t="shared" si="31"/>
        <v>204487.201206</v>
      </c>
      <c r="U111" s="60">
        <f t="shared" si="32"/>
        <v>2006185.20443327</v>
      </c>
      <c r="V111" s="60">
        <f t="shared" si="33"/>
        <v>2210672.4056389998</v>
      </c>
    </row>
    <row r="112" spans="1:22" ht="19.5" customHeight="1">
      <c r="A112" s="57" t="s">
        <v>5</v>
      </c>
      <c r="B112" s="57" t="s">
        <v>182</v>
      </c>
      <c r="C112" s="56" t="s">
        <v>69</v>
      </c>
      <c r="D112" s="57" t="s">
        <v>199</v>
      </c>
      <c r="E112" s="64">
        <v>1568.7209809999999</v>
      </c>
      <c r="F112" s="64">
        <v>4.2240000000000002</v>
      </c>
      <c r="G112" s="67"/>
      <c r="H112" s="67"/>
      <c r="I112" s="67"/>
      <c r="J112" s="68"/>
      <c r="K112" s="69">
        <v>294749.55</v>
      </c>
      <c r="L112" s="69">
        <v>0</v>
      </c>
      <c r="M112" s="69">
        <f t="shared" si="25"/>
        <v>294749.55</v>
      </c>
      <c r="N112" s="69">
        <f t="shared" si="26"/>
        <v>187.89163500000001</v>
      </c>
      <c r="O112" s="60">
        <f t="shared" si="27"/>
        <v>17.379975999999999</v>
      </c>
      <c r="P112" s="60">
        <f t="shared" si="28"/>
        <v>170.51165900000001</v>
      </c>
      <c r="Q112" s="60">
        <f t="shared" si="29"/>
        <v>27264.333000476454</v>
      </c>
      <c r="R112" s="60">
        <f t="shared" si="30"/>
        <v>267485.21697841701</v>
      </c>
      <c r="S112" s="70">
        <v>1</v>
      </c>
      <c r="T112" s="60">
        <f t="shared" si="31"/>
        <v>27264.332999999999</v>
      </c>
      <c r="U112" s="60">
        <f t="shared" si="32"/>
        <v>267485.21697841701</v>
      </c>
      <c r="V112" s="60">
        <f t="shared" si="33"/>
        <v>294749.549978</v>
      </c>
    </row>
    <row r="113" spans="1:22" ht="19.5" customHeight="1">
      <c r="A113" s="57" t="s">
        <v>5</v>
      </c>
      <c r="B113" s="57" t="s">
        <v>138</v>
      </c>
      <c r="C113" s="56" t="s">
        <v>86</v>
      </c>
      <c r="D113" s="57" t="s">
        <v>87</v>
      </c>
      <c r="E113" s="64">
        <v>92.146898000000007</v>
      </c>
      <c r="F113" s="64">
        <v>0.91900000000000004</v>
      </c>
      <c r="G113" s="67"/>
      <c r="H113" s="67"/>
      <c r="I113" s="67"/>
      <c r="J113" s="68"/>
      <c r="K113" s="69">
        <v>15624.87</v>
      </c>
      <c r="L113" s="69">
        <v>0</v>
      </c>
      <c r="M113" s="69">
        <f t="shared" si="25"/>
        <v>15624.87</v>
      </c>
      <c r="N113" s="69">
        <f t="shared" si="26"/>
        <v>169.564796</v>
      </c>
      <c r="O113" s="60">
        <f t="shared" si="27"/>
        <v>15.684744</v>
      </c>
      <c r="P113" s="60">
        <f t="shared" si="28"/>
        <v>153.88005200000001</v>
      </c>
      <c r="Q113" s="60">
        <f t="shared" si="29"/>
        <v>1445.3005055241122</v>
      </c>
      <c r="R113" s="60">
        <f t="shared" si="30"/>
        <v>14179.5694558787</v>
      </c>
      <c r="S113" s="70">
        <v>1</v>
      </c>
      <c r="T113" s="60">
        <f t="shared" si="31"/>
        <v>1445.300506</v>
      </c>
      <c r="U113" s="60">
        <f t="shared" si="32"/>
        <v>14179.5694558787</v>
      </c>
      <c r="V113" s="60">
        <f t="shared" si="33"/>
        <v>15624.869962000001</v>
      </c>
    </row>
    <row r="114" spans="1:22" ht="19.5" customHeight="1">
      <c r="A114" s="57" t="s">
        <v>5</v>
      </c>
      <c r="B114" s="57" t="s">
        <v>138</v>
      </c>
      <c r="C114" s="56" t="s">
        <v>88</v>
      </c>
      <c r="D114" s="57" t="s">
        <v>89</v>
      </c>
      <c r="E114" s="64">
        <v>134.125193</v>
      </c>
      <c r="F114" s="64">
        <v>0.53700000000000003</v>
      </c>
      <c r="G114" s="67"/>
      <c r="H114" s="67"/>
      <c r="I114" s="67"/>
      <c r="J114" s="68"/>
      <c r="K114" s="69">
        <v>23200.59</v>
      </c>
      <c r="L114" s="69">
        <v>0</v>
      </c>
      <c r="M114" s="69">
        <f t="shared" si="25"/>
        <v>23200.59</v>
      </c>
      <c r="N114" s="69">
        <f t="shared" si="26"/>
        <v>172.97712300000001</v>
      </c>
      <c r="O114" s="60">
        <f t="shared" si="27"/>
        <v>16.000384</v>
      </c>
      <c r="P114" s="60">
        <f t="shared" si="28"/>
        <v>156.97673900000001</v>
      </c>
      <c r="Q114" s="60">
        <f t="shared" si="29"/>
        <v>2146.054592074112</v>
      </c>
      <c r="R114" s="60">
        <f t="shared" si="30"/>
        <v>21054.535414885599</v>
      </c>
      <c r="S114" s="70">
        <v>1</v>
      </c>
      <c r="T114" s="60">
        <f t="shared" si="31"/>
        <v>2146.054592</v>
      </c>
      <c r="U114" s="60">
        <f t="shared" si="32"/>
        <v>21054.535414885599</v>
      </c>
      <c r="V114" s="60">
        <f t="shared" si="33"/>
        <v>23200.590006999999</v>
      </c>
    </row>
    <row r="115" spans="1:22" ht="19.5" customHeight="1">
      <c r="A115" s="57" t="s">
        <v>5</v>
      </c>
      <c r="B115" s="57" t="s">
        <v>144</v>
      </c>
      <c r="C115" s="56" t="s">
        <v>90</v>
      </c>
      <c r="D115" s="57" t="s">
        <v>160</v>
      </c>
      <c r="E115" s="64">
        <v>3952.1599230000002</v>
      </c>
      <c r="F115" s="64">
        <v>11.066000000000001</v>
      </c>
      <c r="G115" s="67"/>
      <c r="H115" s="67"/>
      <c r="I115" s="67"/>
      <c r="J115" s="68"/>
      <c r="K115" s="69">
        <v>589668.46</v>
      </c>
      <c r="L115" s="69">
        <v>0</v>
      </c>
      <c r="M115" s="69">
        <f t="shared" si="25"/>
        <v>589668.46</v>
      </c>
      <c r="N115" s="69">
        <f t="shared" si="26"/>
        <v>149.20156900000001</v>
      </c>
      <c r="O115" s="60">
        <f t="shared" si="27"/>
        <v>13.801145</v>
      </c>
      <c r="P115" s="60">
        <f t="shared" si="28"/>
        <v>135.40042400000002</v>
      </c>
      <c r="Q115" s="60">
        <f t="shared" si="29"/>
        <v>54544.33216051184</v>
      </c>
      <c r="R115" s="60">
        <f t="shared" si="30"/>
        <v>535124.12929000705</v>
      </c>
      <c r="S115" s="70">
        <v>1</v>
      </c>
      <c r="T115" s="60">
        <f t="shared" si="31"/>
        <v>54544.332160999998</v>
      </c>
      <c r="U115" s="60">
        <f t="shared" si="32"/>
        <v>535124.12929000705</v>
      </c>
      <c r="V115" s="60">
        <f t="shared" si="33"/>
        <v>589668.46145099995</v>
      </c>
    </row>
    <row r="116" spans="1:22" ht="19.5" customHeight="1">
      <c r="A116" s="57" t="s">
        <v>5</v>
      </c>
      <c r="B116" s="57" t="s">
        <v>138</v>
      </c>
      <c r="C116" s="56" t="s">
        <v>115</v>
      </c>
      <c r="D116" s="57" t="s">
        <v>116</v>
      </c>
      <c r="E116" s="64">
        <v>1747.5984129999999</v>
      </c>
      <c r="F116" s="64">
        <v>10.614000000000001</v>
      </c>
      <c r="G116" s="67"/>
      <c r="H116" s="67"/>
      <c r="I116" s="67"/>
      <c r="J116" s="68"/>
      <c r="K116" s="69">
        <v>244037.46</v>
      </c>
      <c r="L116" s="69">
        <v>0</v>
      </c>
      <c r="M116" s="69">
        <f t="shared" si="25"/>
        <v>244037.46</v>
      </c>
      <c r="N116" s="69">
        <f t="shared" si="26"/>
        <v>139.64161200000001</v>
      </c>
      <c r="O116" s="60">
        <f t="shared" si="27"/>
        <v>12.916848999999999</v>
      </c>
      <c r="P116" s="60">
        <f t="shared" si="28"/>
        <v>126.72476300000001</v>
      </c>
      <c r="Q116" s="60">
        <f t="shared" si="29"/>
        <v>22573.464813360635</v>
      </c>
      <c r="R116" s="60">
        <f t="shared" si="30"/>
        <v>221463.99470660099</v>
      </c>
      <c r="S116" s="70">
        <v>1</v>
      </c>
      <c r="T116" s="60">
        <f t="shared" si="31"/>
        <v>22573.464812999999</v>
      </c>
      <c r="U116" s="60">
        <f t="shared" si="32"/>
        <v>221463.99470660099</v>
      </c>
      <c r="V116" s="60">
        <f t="shared" si="33"/>
        <v>244037.45952</v>
      </c>
    </row>
    <row r="117" spans="1:22" ht="19.5" customHeight="1">
      <c r="A117" s="57" t="s">
        <v>5</v>
      </c>
      <c r="B117" s="57" t="s">
        <v>138</v>
      </c>
      <c r="C117" s="56" t="s">
        <v>117</v>
      </c>
      <c r="D117" s="57" t="s">
        <v>118</v>
      </c>
      <c r="E117" s="64">
        <v>2388.261982</v>
      </c>
      <c r="F117" s="64">
        <v>5.032</v>
      </c>
      <c r="G117" s="67"/>
      <c r="H117" s="67"/>
      <c r="I117" s="67"/>
      <c r="J117" s="68"/>
      <c r="K117" s="69">
        <v>329739.48</v>
      </c>
      <c r="L117" s="69">
        <v>0</v>
      </c>
      <c r="M117" s="69">
        <f t="shared" si="25"/>
        <v>329739.48</v>
      </c>
      <c r="N117" s="69">
        <f t="shared" si="26"/>
        <v>138.066712</v>
      </c>
      <c r="O117" s="60">
        <f t="shared" si="27"/>
        <v>12.771171000000001</v>
      </c>
      <c r="P117" s="60">
        <f t="shared" si="28"/>
        <v>125.295541</v>
      </c>
      <c r="Q117" s="60">
        <f t="shared" si="29"/>
        <v>30500.902164920924</v>
      </c>
      <c r="R117" s="60">
        <f t="shared" si="30"/>
        <v>299238.577084422</v>
      </c>
      <c r="S117" s="70">
        <v>1</v>
      </c>
      <c r="T117" s="60">
        <f t="shared" si="31"/>
        <v>30500.902165</v>
      </c>
      <c r="U117" s="60">
        <f t="shared" si="32"/>
        <v>299238.577084422</v>
      </c>
      <c r="V117" s="60">
        <f t="shared" si="33"/>
        <v>329739.47924900003</v>
      </c>
    </row>
    <row r="118" spans="1:22" ht="19.5" customHeight="1">
      <c r="A118" s="57" t="s">
        <v>5</v>
      </c>
      <c r="B118" s="57" t="s">
        <v>70</v>
      </c>
      <c r="C118" s="56" t="s">
        <v>49</v>
      </c>
      <c r="D118" s="57" t="s">
        <v>137</v>
      </c>
      <c r="E118" s="64">
        <v>1144.68858</v>
      </c>
      <c r="F118" s="64">
        <v>4.0949999999999998</v>
      </c>
      <c r="G118" s="67"/>
      <c r="H118" s="67"/>
      <c r="I118" s="67"/>
      <c r="J118" s="68"/>
      <c r="K118" s="69">
        <v>228550.84</v>
      </c>
      <c r="L118" s="69">
        <v>0</v>
      </c>
      <c r="M118" s="69">
        <f t="shared" si="25"/>
        <v>228550.84</v>
      </c>
      <c r="N118" s="69">
        <f t="shared" si="26"/>
        <v>199.662025</v>
      </c>
      <c r="O118" s="60">
        <f t="shared" si="27"/>
        <v>18.468737000000001</v>
      </c>
      <c r="P118" s="60">
        <f t="shared" si="28"/>
        <v>181.193288</v>
      </c>
      <c r="Q118" s="60">
        <f t="shared" si="29"/>
        <v>21140.952330923461</v>
      </c>
      <c r="R118" s="60">
        <f t="shared" si="30"/>
        <v>207409.887546251</v>
      </c>
      <c r="S118" s="70">
        <v>1</v>
      </c>
      <c r="T118" s="60">
        <f t="shared" si="31"/>
        <v>21140.952331</v>
      </c>
      <c r="U118" s="60">
        <f t="shared" si="32"/>
        <v>207409.887546251</v>
      </c>
      <c r="V118" s="60">
        <f t="shared" si="33"/>
        <v>228550.83987699999</v>
      </c>
    </row>
    <row r="119" spans="1:22" ht="19.5" customHeight="1">
      <c r="A119" s="57" t="s">
        <v>5</v>
      </c>
      <c r="B119" s="57" t="s">
        <v>70</v>
      </c>
      <c r="C119" s="56" t="s">
        <v>62</v>
      </c>
      <c r="D119" s="57" t="s">
        <v>63</v>
      </c>
      <c r="E119" s="64">
        <v>44.318400000000004</v>
      </c>
      <c r="F119" s="64">
        <v>0.63</v>
      </c>
      <c r="G119" s="67"/>
      <c r="H119" s="67"/>
      <c r="I119" s="67"/>
      <c r="J119" s="68"/>
      <c r="K119" s="69">
        <v>6798.75</v>
      </c>
      <c r="L119" s="69">
        <v>0</v>
      </c>
      <c r="M119" s="69">
        <f t="shared" si="25"/>
        <v>6798.75</v>
      </c>
      <c r="N119" s="69">
        <f t="shared" si="26"/>
        <v>153.406937</v>
      </c>
      <c r="O119" s="60">
        <f t="shared" si="27"/>
        <v>14.190142</v>
      </c>
      <c r="P119" s="60">
        <f t="shared" si="28"/>
        <v>139.21679499999999</v>
      </c>
      <c r="Q119" s="60">
        <f t="shared" si="29"/>
        <v>628.8843892128001</v>
      </c>
      <c r="R119" s="60">
        <f t="shared" si="30"/>
        <v>6169.8656075279996</v>
      </c>
      <c r="S119" s="70">
        <v>1</v>
      </c>
      <c r="T119" s="60">
        <f t="shared" si="31"/>
        <v>628.88438900000006</v>
      </c>
      <c r="U119" s="60">
        <f t="shared" si="32"/>
        <v>6169.8656075279996</v>
      </c>
      <c r="V119" s="60">
        <f t="shared" si="33"/>
        <v>6798.7499969999999</v>
      </c>
    </row>
    <row r="120" spans="1:22" ht="19.5" customHeight="1">
      <c r="A120" s="57" t="s">
        <v>5</v>
      </c>
      <c r="B120" s="57" t="s">
        <v>70</v>
      </c>
      <c r="C120" s="56" t="s">
        <v>57</v>
      </c>
      <c r="D120" s="57" t="s">
        <v>60</v>
      </c>
      <c r="E120" s="64">
        <v>1392.83088</v>
      </c>
      <c r="F120" s="64">
        <v>4.0949999999999998</v>
      </c>
      <c r="G120" s="67"/>
      <c r="H120" s="67"/>
      <c r="I120" s="67"/>
      <c r="J120" s="68"/>
      <c r="K120" s="69">
        <v>278185.49</v>
      </c>
      <c r="L120" s="69">
        <v>0</v>
      </c>
      <c r="M120" s="69">
        <f t="shared" si="25"/>
        <v>278185.49</v>
      </c>
      <c r="N120" s="69">
        <f t="shared" si="26"/>
        <v>199.72668200000001</v>
      </c>
      <c r="O120" s="60">
        <f t="shared" si="27"/>
        <v>18.474717999999999</v>
      </c>
      <c r="P120" s="60">
        <f t="shared" si="28"/>
        <v>181.25196400000002</v>
      </c>
      <c r="Q120" s="60">
        <f t="shared" si="29"/>
        <v>25732.15772969184</v>
      </c>
      <c r="R120" s="60">
        <f t="shared" si="30"/>
        <v>252453.33251984799</v>
      </c>
      <c r="S120" s="70">
        <v>1</v>
      </c>
      <c r="T120" s="60">
        <f t="shared" si="31"/>
        <v>25732.157729999999</v>
      </c>
      <c r="U120" s="60">
        <f t="shared" si="32"/>
        <v>252453.33251984799</v>
      </c>
      <c r="V120" s="60">
        <f t="shared" si="33"/>
        <v>278185.49024999997</v>
      </c>
    </row>
    <row r="121" spans="1:22" ht="19.5" customHeight="1">
      <c r="A121" s="57" t="s">
        <v>5</v>
      </c>
      <c r="B121" s="57" t="s">
        <v>70</v>
      </c>
      <c r="C121" s="56" t="s">
        <v>71</v>
      </c>
      <c r="D121" s="57" t="s">
        <v>72</v>
      </c>
      <c r="E121" s="64">
        <v>38.791199999999996</v>
      </c>
      <c r="F121" s="64">
        <v>0.63</v>
      </c>
      <c r="G121" s="67"/>
      <c r="H121" s="67"/>
      <c r="I121" s="67"/>
      <c r="J121" s="68"/>
      <c r="K121" s="69">
        <v>5950.83</v>
      </c>
      <c r="L121" s="69">
        <v>0</v>
      </c>
      <c r="M121" s="69">
        <f t="shared" si="25"/>
        <v>5950.83</v>
      </c>
      <c r="N121" s="69">
        <f t="shared" si="26"/>
        <v>153.4067</v>
      </c>
      <c r="O121" s="60">
        <f t="shared" si="27"/>
        <v>14.19012</v>
      </c>
      <c r="P121" s="60">
        <f t="shared" si="28"/>
        <v>139.21657999999999</v>
      </c>
      <c r="Q121" s="60">
        <f t="shared" si="29"/>
        <v>550.451782944</v>
      </c>
      <c r="R121" s="60">
        <f t="shared" si="30"/>
        <v>5400.3781980960002</v>
      </c>
      <c r="S121" s="70">
        <v>1</v>
      </c>
      <c r="T121" s="60">
        <f t="shared" si="31"/>
        <v>550.45178299999998</v>
      </c>
      <c r="U121" s="60">
        <f t="shared" si="32"/>
        <v>5400.3781980960002</v>
      </c>
      <c r="V121" s="60">
        <f t="shared" si="33"/>
        <v>5950.8299809999999</v>
      </c>
    </row>
    <row r="122" spans="1:22" ht="19.5" customHeight="1">
      <c r="A122" s="57" t="s">
        <v>5</v>
      </c>
      <c r="B122" s="57" t="s">
        <v>138</v>
      </c>
      <c r="C122" s="56" t="s">
        <v>73</v>
      </c>
      <c r="D122" s="57" t="s">
        <v>74</v>
      </c>
      <c r="E122" s="64">
        <v>1574.7518500000001</v>
      </c>
      <c r="F122" s="64">
        <v>7.1020000000000003</v>
      </c>
      <c r="G122" s="67"/>
      <c r="H122" s="67"/>
      <c r="I122" s="67"/>
      <c r="J122" s="68"/>
      <c r="K122" s="69">
        <v>219900.9</v>
      </c>
      <c r="L122" s="69">
        <v>0</v>
      </c>
      <c r="M122" s="69">
        <f t="shared" si="25"/>
        <v>219900.9</v>
      </c>
      <c r="N122" s="69">
        <f t="shared" si="26"/>
        <v>139.64161999999999</v>
      </c>
      <c r="O122" s="60">
        <f t="shared" si="27"/>
        <v>12.91685</v>
      </c>
      <c r="P122" s="60">
        <f t="shared" si="28"/>
        <v>126.72476999999999</v>
      </c>
      <c r="Q122" s="60">
        <f t="shared" si="29"/>
        <v>20340.833433672502</v>
      </c>
      <c r="R122" s="60">
        <f t="shared" si="30"/>
        <v>199560.06599832501</v>
      </c>
      <c r="S122" s="70">
        <v>1</v>
      </c>
      <c r="T122" s="60">
        <f t="shared" si="31"/>
        <v>20340.833434</v>
      </c>
      <c r="U122" s="60">
        <f t="shared" si="32"/>
        <v>199560.06599832501</v>
      </c>
      <c r="V122" s="60">
        <f t="shared" si="33"/>
        <v>219900.89943200001</v>
      </c>
    </row>
    <row r="123" spans="1:22" ht="19.5" customHeight="1">
      <c r="A123" s="57" t="s">
        <v>5</v>
      </c>
      <c r="B123" s="57" t="s">
        <v>138</v>
      </c>
      <c r="C123" s="56" t="s">
        <v>119</v>
      </c>
      <c r="D123" s="57" t="s">
        <v>120</v>
      </c>
      <c r="E123" s="64">
        <v>4967.0577630000007</v>
      </c>
      <c r="F123" s="64">
        <v>13.071999999999999</v>
      </c>
      <c r="G123" s="67"/>
      <c r="H123" s="67"/>
      <c r="I123" s="67"/>
      <c r="J123" s="68"/>
      <c r="K123" s="69">
        <v>696215.52</v>
      </c>
      <c r="L123" s="69">
        <v>0</v>
      </c>
      <c r="M123" s="69">
        <f t="shared" si="25"/>
        <v>696215.52</v>
      </c>
      <c r="N123" s="69">
        <f t="shared" si="26"/>
        <v>140.166584</v>
      </c>
      <c r="O123" s="60">
        <f t="shared" si="27"/>
        <v>12.965408999999999</v>
      </c>
      <c r="P123" s="60">
        <f t="shared" si="28"/>
        <v>127.20117500000001</v>
      </c>
      <c r="Q123" s="60">
        <f t="shared" si="29"/>
        <v>64399.935423920069</v>
      </c>
      <c r="R123" s="60">
        <f t="shared" si="30"/>
        <v>631815.58374647202</v>
      </c>
      <c r="S123" s="70">
        <v>1</v>
      </c>
      <c r="T123" s="60">
        <f t="shared" si="31"/>
        <v>64399.935424000003</v>
      </c>
      <c r="U123" s="60">
        <f t="shared" si="32"/>
        <v>631815.58374647202</v>
      </c>
      <c r="V123" s="60">
        <f t="shared" si="33"/>
        <v>696215.51916999999</v>
      </c>
    </row>
    <row r="124" spans="1:22" ht="19.5" customHeight="1">
      <c r="A124" s="57" t="s">
        <v>5</v>
      </c>
      <c r="B124" s="57" t="s">
        <v>144</v>
      </c>
      <c r="C124" s="56" t="s">
        <v>91</v>
      </c>
      <c r="D124" s="57" t="s">
        <v>161</v>
      </c>
      <c r="E124" s="64">
        <v>2908.9212990000001</v>
      </c>
      <c r="F124" s="64">
        <v>10.518000000000001</v>
      </c>
      <c r="G124" s="67"/>
      <c r="H124" s="67"/>
      <c r="I124" s="67"/>
      <c r="J124" s="68"/>
      <c r="K124" s="69">
        <v>434015.61</v>
      </c>
      <c r="L124" s="69">
        <v>0</v>
      </c>
      <c r="M124" s="69">
        <f t="shared" si="25"/>
        <v>434015.61</v>
      </c>
      <c r="N124" s="69">
        <f t="shared" si="26"/>
        <v>149.20156499999999</v>
      </c>
      <c r="O124" s="60">
        <f t="shared" si="27"/>
        <v>13.801145</v>
      </c>
      <c r="P124" s="60">
        <f t="shared" si="28"/>
        <v>135.40042</v>
      </c>
      <c r="Q124" s="60">
        <f t="shared" si="29"/>
        <v>40146.444641087357</v>
      </c>
      <c r="R124" s="60">
        <f t="shared" si="30"/>
        <v>393869.165631546</v>
      </c>
      <c r="S124" s="70">
        <v>1</v>
      </c>
      <c r="T124" s="60">
        <f t="shared" si="31"/>
        <v>40146.444641000002</v>
      </c>
      <c r="U124" s="60">
        <f t="shared" si="32"/>
        <v>393869.165631546</v>
      </c>
      <c r="V124" s="60">
        <f t="shared" si="33"/>
        <v>434015.61027300003</v>
      </c>
    </row>
    <row r="125" spans="1:22" ht="19.5" customHeight="1">
      <c r="A125" s="57" t="s">
        <v>5</v>
      </c>
      <c r="B125" s="57" t="s">
        <v>138</v>
      </c>
      <c r="C125" s="56" t="s">
        <v>121</v>
      </c>
      <c r="D125" s="57" t="s">
        <v>122</v>
      </c>
      <c r="E125" s="64">
        <v>379.48710199999999</v>
      </c>
      <c r="F125" s="64">
        <v>1.397</v>
      </c>
      <c r="G125" s="67"/>
      <c r="H125" s="67"/>
      <c r="I125" s="67"/>
      <c r="J125" s="68"/>
      <c r="K125" s="69">
        <v>65642.58</v>
      </c>
      <c r="L125" s="69">
        <v>0</v>
      </c>
      <c r="M125" s="69">
        <f t="shared" si="25"/>
        <v>65642.58</v>
      </c>
      <c r="N125" s="69">
        <f t="shared" si="26"/>
        <v>172.977104</v>
      </c>
      <c r="O125" s="60">
        <f t="shared" si="27"/>
        <v>16.000381999999998</v>
      </c>
      <c r="P125" s="60">
        <f t="shared" si="28"/>
        <v>156.976722</v>
      </c>
      <c r="Q125" s="60">
        <f t="shared" si="29"/>
        <v>6071.9385960729633</v>
      </c>
      <c r="R125" s="60">
        <f t="shared" si="30"/>
        <v>59570.641313239597</v>
      </c>
      <c r="S125" s="70">
        <v>1</v>
      </c>
      <c r="T125" s="60">
        <f t="shared" si="31"/>
        <v>6071.938596</v>
      </c>
      <c r="U125" s="60">
        <f t="shared" si="32"/>
        <v>59570.641313239597</v>
      </c>
      <c r="V125" s="60">
        <f t="shared" si="33"/>
        <v>65642.579908999993</v>
      </c>
    </row>
    <row r="126" spans="1:22" ht="19.5" customHeight="1">
      <c r="A126" s="57" t="s">
        <v>5</v>
      </c>
      <c r="B126" s="57" t="s">
        <v>138</v>
      </c>
      <c r="C126" s="56" t="s">
        <v>92</v>
      </c>
      <c r="D126" s="57" t="s">
        <v>93</v>
      </c>
      <c r="E126" s="64">
        <v>119.289766</v>
      </c>
      <c r="F126" s="64">
        <v>0.95799999999999996</v>
      </c>
      <c r="G126" s="67"/>
      <c r="H126" s="67"/>
      <c r="I126" s="67"/>
      <c r="J126" s="68"/>
      <c r="K126" s="69">
        <v>18473.900000000001</v>
      </c>
      <c r="L126" s="69">
        <v>0</v>
      </c>
      <c r="M126" s="69">
        <f t="shared" si="25"/>
        <v>18473.900000000001</v>
      </c>
      <c r="N126" s="69">
        <f t="shared" si="26"/>
        <v>154.865758</v>
      </c>
      <c r="O126" s="60">
        <f t="shared" si="27"/>
        <v>14.325082999999999</v>
      </c>
      <c r="P126" s="60">
        <f t="shared" si="28"/>
        <v>140.54067499999999</v>
      </c>
      <c r="Q126" s="60">
        <f t="shared" si="29"/>
        <v>1708.8357990005779</v>
      </c>
      <c r="R126" s="60">
        <f t="shared" si="30"/>
        <v>16765.064234231999</v>
      </c>
      <c r="S126" s="70">
        <v>1</v>
      </c>
      <c r="T126" s="60">
        <f t="shared" si="31"/>
        <v>1708.835799</v>
      </c>
      <c r="U126" s="60">
        <f t="shared" si="32"/>
        <v>16765.064234231999</v>
      </c>
      <c r="V126" s="60">
        <f t="shared" si="33"/>
        <v>18473.900033000002</v>
      </c>
    </row>
    <row r="127" spans="1:22" ht="19.5" customHeight="1">
      <c r="A127" s="57" t="s">
        <v>5</v>
      </c>
      <c r="B127" s="57" t="s">
        <v>138</v>
      </c>
      <c r="C127" s="56" t="s">
        <v>94</v>
      </c>
      <c r="D127" s="57" t="s">
        <v>95</v>
      </c>
      <c r="E127" s="64">
        <v>972.74415099999999</v>
      </c>
      <c r="F127" s="64">
        <v>3.7320000000000002</v>
      </c>
      <c r="G127" s="67"/>
      <c r="H127" s="67"/>
      <c r="I127" s="67"/>
      <c r="J127" s="68"/>
      <c r="K127" s="69">
        <v>135835.57</v>
      </c>
      <c r="L127" s="69">
        <v>0</v>
      </c>
      <c r="M127" s="69">
        <f t="shared" si="25"/>
        <v>135835.57</v>
      </c>
      <c r="N127" s="69">
        <f t="shared" si="26"/>
        <v>139.64162099999999</v>
      </c>
      <c r="O127" s="60">
        <f t="shared" si="27"/>
        <v>12.91685</v>
      </c>
      <c r="P127" s="60">
        <f t="shared" si="28"/>
        <v>126.72477099999999</v>
      </c>
      <c r="Q127" s="60">
        <f t="shared" si="29"/>
        <v>12564.790286844351</v>
      </c>
      <c r="R127" s="60">
        <f t="shared" si="30"/>
        <v>123270.779777064</v>
      </c>
      <c r="S127" s="70">
        <v>1</v>
      </c>
      <c r="T127" s="60">
        <f t="shared" si="31"/>
        <v>12564.790287</v>
      </c>
      <c r="U127" s="60">
        <f t="shared" si="32"/>
        <v>123270.779777064</v>
      </c>
      <c r="V127" s="60">
        <f t="shared" si="33"/>
        <v>135835.570064</v>
      </c>
    </row>
    <row r="128" spans="1:22" ht="19.5" customHeight="1">
      <c r="A128" s="57" t="s">
        <v>5</v>
      </c>
      <c r="B128" s="57" t="s">
        <v>138</v>
      </c>
      <c r="C128" s="56" t="s">
        <v>96</v>
      </c>
      <c r="D128" s="57" t="s">
        <v>97</v>
      </c>
      <c r="E128" s="64">
        <v>1289.341946</v>
      </c>
      <c r="F128" s="64">
        <v>6.0069999999999997</v>
      </c>
      <c r="G128" s="67"/>
      <c r="H128" s="67"/>
      <c r="I128" s="67"/>
      <c r="J128" s="68"/>
      <c r="K128" s="69">
        <v>180722.65</v>
      </c>
      <c r="L128" s="69">
        <v>0</v>
      </c>
      <c r="M128" s="69">
        <f t="shared" si="25"/>
        <v>180722.65</v>
      </c>
      <c r="N128" s="69">
        <f t="shared" si="26"/>
        <v>140.16657900000001</v>
      </c>
      <c r="O128" s="60">
        <f t="shared" si="27"/>
        <v>12.965408999999999</v>
      </c>
      <c r="P128" s="60">
        <f t="shared" si="28"/>
        <v>127.20117000000002</v>
      </c>
      <c r="Q128" s="60">
        <f t="shared" si="29"/>
        <v>16716.845670745912</v>
      </c>
      <c r="R128" s="60">
        <f t="shared" si="30"/>
        <v>164005.80406127701</v>
      </c>
      <c r="S128" s="70">
        <v>1</v>
      </c>
      <c r="T128" s="60">
        <f t="shared" si="31"/>
        <v>16716.845670999999</v>
      </c>
      <c r="U128" s="60">
        <f t="shared" si="32"/>
        <v>164005.80406127701</v>
      </c>
      <c r="V128" s="60">
        <f t="shared" si="33"/>
        <v>180722.64973199999</v>
      </c>
    </row>
    <row r="129" spans="1:22" ht="19.5" customHeight="1">
      <c r="A129" s="57" t="s">
        <v>5</v>
      </c>
      <c r="B129" s="57" t="s">
        <v>138</v>
      </c>
      <c r="C129" s="56" t="s">
        <v>148</v>
      </c>
      <c r="D129" s="57" t="s">
        <v>149</v>
      </c>
      <c r="E129" s="64">
        <v>17.455254</v>
      </c>
      <c r="F129" s="64">
        <v>0.27</v>
      </c>
      <c r="G129" s="67"/>
      <c r="H129" s="67"/>
      <c r="I129" s="67"/>
      <c r="J129" s="68"/>
      <c r="K129" s="69">
        <v>3207.21</v>
      </c>
      <c r="L129" s="69">
        <v>0</v>
      </c>
      <c r="M129" s="69">
        <f t="shared" si="25"/>
        <v>3207.21</v>
      </c>
      <c r="N129" s="69">
        <f t="shared" si="26"/>
        <v>183.73894799999999</v>
      </c>
      <c r="O129" s="60">
        <f t="shared" si="27"/>
        <v>16.995853</v>
      </c>
      <c r="P129" s="60">
        <f t="shared" si="28"/>
        <v>166.74309499999998</v>
      </c>
      <c r="Q129" s="60">
        <f t="shared" si="29"/>
        <v>296.66693106166201</v>
      </c>
      <c r="R129" s="60">
        <f t="shared" si="30"/>
        <v>2910.5430759711298</v>
      </c>
      <c r="S129" s="70">
        <v>1</v>
      </c>
      <c r="T129" s="60">
        <f t="shared" si="31"/>
        <v>296.66693099999998</v>
      </c>
      <c r="U129" s="60">
        <f t="shared" si="32"/>
        <v>2910.5430759711298</v>
      </c>
      <c r="V129" s="60">
        <f t="shared" si="33"/>
        <v>3207.2100070000001</v>
      </c>
    </row>
    <row r="130" spans="1:22" ht="19.5" customHeight="1">
      <c r="A130" s="57" t="s">
        <v>5</v>
      </c>
      <c r="B130" s="57" t="s">
        <v>138</v>
      </c>
      <c r="C130" s="56" t="s">
        <v>150</v>
      </c>
      <c r="D130" s="57" t="s">
        <v>151</v>
      </c>
      <c r="E130" s="64">
        <v>3944.0890529999997</v>
      </c>
      <c r="F130" s="64">
        <v>11.122</v>
      </c>
      <c r="G130" s="67"/>
      <c r="H130" s="67"/>
      <c r="I130" s="67"/>
      <c r="J130" s="68"/>
      <c r="K130" s="69">
        <v>552829.49</v>
      </c>
      <c r="L130" s="69">
        <v>0</v>
      </c>
      <c r="M130" s="69">
        <f t="shared" si="25"/>
        <v>552829.49</v>
      </c>
      <c r="N130" s="69">
        <f t="shared" si="26"/>
        <v>140.166584</v>
      </c>
      <c r="O130" s="60">
        <f t="shared" si="27"/>
        <v>12.965408999999999</v>
      </c>
      <c r="P130" s="60">
        <f t="shared" si="28"/>
        <v>127.20117500000001</v>
      </c>
      <c r="Q130" s="60">
        <f t="shared" si="29"/>
        <v>51136.727704567667</v>
      </c>
      <c r="R130" s="60">
        <f t="shared" si="30"/>
        <v>501692.761846237</v>
      </c>
      <c r="S130" s="70">
        <v>1</v>
      </c>
      <c r="T130" s="60">
        <f t="shared" si="31"/>
        <v>51136.727704999998</v>
      </c>
      <c r="U130" s="60">
        <f t="shared" si="32"/>
        <v>501692.761846237</v>
      </c>
      <c r="V130" s="60">
        <f t="shared" si="33"/>
        <v>552829.48955099995</v>
      </c>
    </row>
    <row r="131" spans="1:22" ht="19.5" customHeight="1">
      <c r="A131" s="57" t="s">
        <v>5</v>
      </c>
      <c r="B131" s="57" t="s">
        <v>138</v>
      </c>
      <c r="C131" s="56" t="s">
        <v>75</v>
      </c>
      <c r="D131" s="57" t="s">
        <v>162</v>
      </c>
      <c r="E131" s="64">
        <v>234.679418</v>
      </c>
      <c r="F131" s="64">
        <v>2.2309999999999999</v>
      </c>
      <c r="G131" s="67"/>
      <c r="H131" s="67"/>
      <c r="I131" s="67"/>
      <c r="J131" s="68"/>
      <c r="K131" s="69">
        <v>36343.79</v>
      </c>
      <c r="L131" s="69">
        <v>0</v>
      </c>
      <c r="M131" s="69">
        <f t="shared" si="25"/>
        <v>36343.79</v>
      </c>
      <c r="N131" s="69">
        <f t="shared" si="26"/>
        <v>154.86569</v>
      </c>
      <c r="O131" s="60">
        <f t="shared" si="27"/>
        <v>14.325075999999999</v>
      </c>
      <c r="P131" s="60">
        <f t="shared" si="28"/>
        <v>140.54061400000001</v>
      </c>
      <c r="Q131" s="60">
        <f t="shared" si="29"/>
        <v>3361.800498485768</v>
      </c>
      <c r="R131" s="60">
        <f t="shared" si="30"/>
        <v>32981.9894988827</v>
      </c>
      <c r="S131" s="70">
        <v>1</v>
      </c>
      <c r="T131" s="60">
        <f t="shared" si="31"/>
        <v>3361.8004980000001</v>
      </c>
      <c r="U131" s="60">
        <f t="shared" si="32"/>
        <v>32981.9894988827</v>
      </c>
      <c r="V131" s="60">
        <f t="shared" si="33"/>
        <v>36343.789997</v>
      </c>
    </row>
    <row r="132" spans="1:22" ht="19.5" customHeight="1">
      <c r="A132" s="57" t="s">
        <v>5</v>
      </c>
      <c r="B132" s="57" t="s">
        <v>138</v>
      </c>
      <c r="C132" s="56" t="s">
        <v>76</v>
      </c>
      <c r="D132" s="57" t="s">
        <v>77</v>
      </c>
      <c r="E132" s="64">
        <v>139.80493200000001</v>
      </c>
      <c r="F132" s="64">
        <v>0.91900000000000004</v>
      </c>
      <c r="G132" s="67"/>
      <c r="H132" s="67"/>
      <c r="I132" s="67"/>
      <c r="J132" s="68"/>
      <c r="K132" s="69">
        <v>24183.06</v>
      </c>
      <c r="L132" s="69">
        <v>0</v>
      </c>
      <c r="M132" s="69">
        <f t="shared" si="25"/>
        <v>24183.06</v>
      </c>
      <c r="N132" s="69">
        <f t="shared" si="26"/>
        <v>172.977159</v>
      </c>
      <c r="O132" s="60">
        <f t="shared" si="27"/>
        <v>16.000387</v>
      </c>
      <c r="P132" s="60">
        <f t="shared" si="28"/>
        <v>156.97677200000001</v>
      </c>
      <c r="Q132" s="60">
        <f t="shared" si="29"/>
        <v>2236.933016508684</v>
      </c>
      <c r="R132" s="60">
        <f t="shared" si="30"/>
        <v>21946.126935039501</v>
      </c>
      <c r="S132" s="70">
        <v>1</v>
      </c>
      <c r="T132" s="60">
        <f t="shared" si="31"/>
        <v>2236.9330169999998</v>
      </c>
      <c r="U132" s="60">
        <f t="shared" si="32"/>
        <v>21946.126935039501</v>
      </c>
      <c r="V132" s="60">
        <f t="shared" si="33"/>
        <v>24183.059952</v>
      </c>
    </row>
    <row r="133" spans="1:22" ht="19.5" customHeight="1">
      <c r="A133" s="57" t="s">
        <v>5</v>
      </c>
      <c r="B133" s="57" t="s">
        <v>138</v>
      </c>
      <c r="C133" s="56" t="s">
        <v>98</v>
      </c>
      <c r="D133" s="57" t="s">
        <v>99</v>
      </c>
      <c r="E133" s="64">
        <v>4884.9533430000001</v>
      </c>
      <c r="F133" s="64">
        <v>13.722</v>
      </c>
      <c r="G133" s="67"/>
      <c r="H133" s="67"/>
      <c r="I133" s="67"/>
      <c r="J133" s="68"/>
      <c r="K133" s="69">
        <v>684707.23</v>
      </c>
      <c r="L133" s="69">
        <v>0</v>
      </c>
      <c r="M133" s="69">
        <f t="shared" si="25"/>
        <v>684707.23</v>
      </c>
      <c r="N133" s="69">
        <f t="shared" si="26"/>
        <v>140.166585</v>
      </c>
      <c r="O133" s="60">
        <f t="shared" si="27"/>
        <v>12.965408999999999</v>
      </c>
      <c r="P133" s="60">
        <f t="shared" si="28"/>
        <v>127.201176</v>
      </c>
      <c r="Q133" s="60">
        <f t="shared" si="29"/>
        <v>63335.418037912284</v>
      </c>
      <c r="R133" s="60">
        <f t="shared" si="30"/>
        <v>621371.80993473099</v>
      </c>
      <c r="S133" s="70">
        <v>1</v>
      </c>
      <c r="T133" s="60">
        <f t="shared" si="31"/>
        <v>63335.418038000003</v>
      </c>
      <c r="U133" s="60">
        <f t="shared" si="32"/>
        <v>621371.80993473099</v>
      </c>
      <c r="V133" s="60">
        <f t="shared" si="33"/>
        <v>684707.22797300003</v>
      </c>
    </row>
    <row r="134" spans="1:22" ht="19.5" customHeight="1">
      <c r="A134" s="57" t="s">
        <v>5</v>
      </c>
      <c r="B134" s="57" t="s">
        <v>138</v>
      </c>
      <c r="C134" s="56" t="s">
        <v>78</v>
      </c>
      <c r="D134" s="57" t="s">
        <v>163</v>
      </c>
      <c r="E134" s="64">
        <v>497.58393800000005</v>
      </c>
      <c r="F134" s="64">
        <v>3.7320000000000002</v>
      </c>
      <c r="G134" s="67"/>
      <c r="H134" s="67"/>
      <c r="I134" s="67"/>
      <c r="J134" s="68"/>
      <c r="K134" s="69">
        <v>69222.210000000006</v>
      </c>
      <c r="L134" s="69">
        <v>0</v>
      </c>
      <c r="M134" s="69">
        <f t="shared" si="25"/>
        <v>69222.210000000006</v>
      </c>
      <c r="N134" s="69">
        <f t="shared" si="26"/>
        <v>139.116649</v>
      </c>
      <c r="O134" s="60">
        <f t="shared" si="27"/>
        <v>12.86829</v>
      </c>
      <c r="P134" s="60">
        <f t="shared" si="28"/>
        <v>126.24835899999999</v>
      </c>
      <c r="Q134" s="60">
        <f t="shared" si="29"/>
        <v>6403.0544135260207</v>
      </c>
      <c r="R134" s="60">
        <f t="shared" si="30"/>
        <v>62819.155637257703</v>
      </c>
      <c r="S134" s="70">
        <v>1</v>
      </c>
      <c r="T134" s="60">
        <f t="shared" si="31"/>
        <v>6403.0544140000002</v>
      </c>
      <c r="U134" s="60">
        <f t="shared" si="32"/>
        <v>62819.155637257703</v>
      </c>
      <c r="V134" s="60">
        <f t="shared" si="33"/>
        <v>69222.210051000002</v>
      </c>
    </row>
    <row r="135" spans="1:22" ht="19.5" customHeight="1">
      <c r="A135" s="57" t="s">
        <v>5</v>
      </c>
      <c r="B135" s="57" t="s">
        <v>138</v>
      </c>
      <c r="C135" s="56" t="s">
        <v>65</v>
      </c>
      <c r="D135" s="57" t="s">
        <v>140</v>
      </c>
      <c r="E135" s="64">
        <v>2546.8380460000003</v>
      </c>
      <c r="F135" s="64">
        <v>7.0419999999999998</v>
      </c>
      <c r="G135" s="67"/>
      <c r="H135" s="67"/>
      <c r="I135" s="67"/>
      <c r="J135" s="68"/>
      <c r="K135" s="69">
        <v>355644.58</v>
      </c>
      <c r="L135" s="69">
        <v>0</v>
      </c>
      <c r="M135" s="69">
        <f t="shared" si="25"/>
        <v>355644.58</v>
      </c>
      <c r="N135" s="69">
        <f t="shared" si="26"/>
        <v>139.641616</v>
      </c>
      <c r="O135" s="60">
        <f t="shared" si="27"/>
        <v>12.916848999999999</v>
      </c>
      <c r="P135" s="60">
        <f t="shared" si="28"/>
        <v>126.724767</v>
      </c>
      <c r="Q135" s="60">
        <f t="shared" si="29"/>
        <v>32897.122467637055</v>
      </c>
      <c r="R135" s="60">
        <f t="shared" si="30"/>
        <v>322747.457966085</v>
      </c>
      <c r="S135" s="70">
        <v>1</v>
      </c>
      <c r="T135" s="60">
        <f t="shared" si="31"/>
        <v>32897.122468000001</v>
      </c>
      <c r="U135" s="60">
        <f t="shared" si="32"/>
        <v>322747.457966085</v>
      </c>
      <c r="V135" s="60">
        <f t="shared" si="33"/>
        <v>355644.580434</v>
      </c>
    </row>
    <row r="136" spans="1:22" ht="19.5" customHeight="1">
      <c r="A136" s="57" t="s">
        <v>5</v>
      </c>
      <c r="B136" s="57" t="s">
        <v>55</v>
      </c>
      <c r="C136" s="56" t="s">
        <v>56</v>
      </c>
      <c r="D136" s="57" t="s">
        <v>200</v>
      </c>
      <c r="E136" s="64">
        <v>4730.1437970000006</v>
      </c>
      <c r="F136" s="64">
        <v>13.65</v>
      </c>
      <c r="G136" s="67"/>
      <c r="H136" s="67"/>
      <c r="I136" s="67"/>
      <c r="J136" s="68"/>
      <c r="K136" s="69">
        <v>716422.64</v>
      </c>
      <c r="L136" s="69">
        <v>0</v>
      </c>
      <c r="M136" s="69">
        <f t="shared" si="25"/>
        <v>716422.64</v>
      </c>
      <c r="N136" s="69">
        <f t="shared" si="26"/>
        <v>151.458956</v>
      </c>
      <c r="O136" s="60">
        <f t="shared" si="27"/>
        <v>14.009952999999999</v>
      </c>
      <c r="P136" s="60">
        <f t="shared" si="28"/>
        <v>137.449003</v>
      </c>
      <c r="Q136" s="60">
        <f t="shared" si="29"/>
        <v>66269.092279211545</v>
      </c>
      <c r="R136" s="60">
        <f t="shared" si="30"/>
        <v>650153.54894428502</v>
      </c>
      <c r="S136" s="70">
        <v>1</v>
      </c>
      <c r="T136" s="60">
        <f t="shared" si="31"/>
        <v>66269.092279000004</v>
      </c>
      <c r="U136" s="60">
        <f t="shared" si="32"/>
        <v>650153.54894428502</v>
      </c>
      <c r="V136" s="60">
        <f t="shared" si="33"/>
        <v>716422.64122300001</v>
      </c>
    </row>
    <row r="137" spans="1:22" ht="19.5" customHeight="1">
      <c r="A137" s="57" t="s">
        <v>5</v>
      </c>
      <c r="B137" s="57" t="s">
        <v>138</v>
      </c>
      <c r="C137" s="56" t="s">
        <v>66</v>
      </c>
      <c r="D137" s="57" t="s">
        <v>141</v>
      </c>
      <c r="E137" s="64">
        <v>5941.2998720000005</v>
      </c>
      <c r="F137" s="64">
        <v>21.556999999999999</v>
      </c>
      <c r="G137" s="67"/>
      <c r="H137" s="67"/>
      <c r="I137" s="67"/>
      <c r="J137" s="68"/>
      <c r="K137" s="69">
        <v>832771.7</v>
      </c>
      <c r="L137" s="69">
        <v>0</v>
      </c>
      <c r="M137" s="69">
        <f t="shared" si="25"/>
        <v>832771.7</v>
      </c>
      <c r="N137" s="69">
        <f t="shared" si="26"/>
        <v>140.166583</v>
      </c>
      <c r="O137" s="60">
        <f t="shared" si="27"/>
        <v>12.965408999999999</v>
      </c>
      <c r="P137" s="60">
        <f t="shared" si="28"/>
        <v>127.20117400000001</v>
      </c>
      <c r="Q137" s="60">
        <f t="shared" si="29"/>
        <v>77031.382832127652</v>
      </c>
      <c r="R137" s="60">
        <f t="shared" si="30"/>
        <v>755740.31880444998</v>
      </c>
      <c r="S137" s="70">
        <v>1</v>
      </c>
      <c r="T137" s="60">
        <f t="shared" si="31"/>
        <v>77031.382832000003</v>
      </c>
      <c r="U137" s="60">
        <f t="shared" si="32"/>
        <v>755740.31880444998</v>
      </c>
      <c r="V137" s="60">
        <f t="shared" si="33"/>
        <v>832771.70163599995</v>
      </c>
    </row>
    <row r="138" spans="1:22" ht="19.5" customHeight="1">
      <c r="A138" s="57" t="s">
        <v>5</v>
      </c>
      <c r="B138" s="57" t="s">
        <v>138</v>
      </c>
      <c r="C138" s="56" t="s">
        <v>123</v>
      </c>
      <c r="D138" s="57" t="s">
        <v>124</v>
      </c>
      <c r="E138" s="64">
        <v>188.17775700000001</v>
      </c>
      <c r="F138" s="64">
        <v>0.53700000000000003</v>
      </c>
      <c r="G138" s="67"/>
      <c r="H138" s="67"/>
      <c r="I138" s="67"/>
      <c r="J138" s="68"/>
      <c r="K138" s="69">
        <v>26376.23</v>
      </c>
      <c r="L138" s="69">
        <v>0</v>
      </c>
      <c r="M138" s="69">
        <f t="shared" si="25"/>
        <v>26376.23</v>
      </c>
      <c r="N138" s="69">
        <f t="shared" si="26"/>
        <v>140.16656599999999</v>
      </c>
      <c r="O138" s="60">
        <f t="shared" si="27"/>
        <v>12.965407000000001</v>
      </c>
      <c r="P138" s="60">
        <f t="shared" si="28"/>
        <v>127.20115899999999</v>
      </c>
      <c r="Q138" s="60">
        <f t="shared" si="29"/>
        <v>2439.8012078520992</v>
      </c>
      <c r="R138" s="60">
        <f t="shared" si="30"/>
        <v>23936.428788420399</v>
      </c>
      <c r="S138" s="70">
        <v>1</v>
      </c>
      <c r="T138" s="60">
        <f t="shared" si="31"/>
        <v>2439.8012079999999</v>
      </c>
      <c r="U138" s="60">
        <f t="shared" si="32"/>
        <v>23936.428788420399</v>
      </c>
      <c r="V138" s="60">
        <f t="shared" si="33"/>
        <v>26376.229995999998</v>
      </c>
    </row>
    <row r="139" spans="1:22" ht="19.5" customHeight="1">
      <c r="A139" s="57" t="s">
        <v>5</v>
      </c>
      <c r="B139" s="57" t="s">
        <v>138</v>
      </c>
      <c r="C139" s="56" t="s">
        <v>125</v>
      </c>
      <c r="D139" s="57" t="s">
        <v>126</v>
      </c>
      <c r="E139" s="64">
        <v>138.083234</v>
      </c>
      <c r="F139" s="64">
        <v>0.70799999999999996</v>
      </c>
      <c r="G139" s="67"/>
      <c r="H139" s="67"/>
      <c r="I139" s="67"/>
      <c r="J139" s="68"/>
      <c r="K139" s="69">
        <v>23414.06</v>
      </c>
      <c r="L139" s="69">
        <v>0</v>
      </c>
      <c r="M139" s="69">
        <f t="shared" si="25"/>
        <v>23414.06</v>
      </c>
      <c r="N139" s="69">
        <f t="shared" si="26"/>
        <v>169.564829</v>
      </c>
      <c r="O139" s="60">
        <f t="shared" si="27"/>
        <v>15.684747</v>
      </c>
      <c r="P139" s="60">
        <f t="shared" si="28"/>
        <v>153.88008200000002</v>
      </c>
      <c r="Q139" s="60">
        <f t="shared" si="29"/>
        <v>2165.8005902317982</v>
      </c>
      <c r="R139" s="60">
        <f t="shared" si="30"/>
        <v>21248.2593707452</v>
      </c>
      <c r="S139" s="70">
        <v>1</v>
      </c>
      <c r="T139" s="60">
        <f t="shared" si="31"/>
        <v>2165.8005899999998</v>
      </c>
      <c r="U139" s="60">
        <f t="shared" si="32"/>
        <v>21248.2593707452</v>
      </c>
      <c r="V139" s="60">
        <f t="shared" si="33"/>
        <v>23414.059960999999</v>
      </c>
    </row>
    <row r="140" spans="1:22" ht="19.5" customHeight="1">
      <c r="A140" s="57" t="s">
        <v>5</v>
      </c>
      <c r="B140" s="57" t="s">
        <v>138</v>
      </c>
      <c r="C140" s="56" t="s">
        <v>127</v>
      </c>
      <c r="D140" s="57" t="s">
        <v>164</v>
      </c>
      <c r="E140" s="64">
        <v>1720.2458000000001</v>
      </c>
      <c r="F140" s="64">
        <v>8.3490000000000002</v>
      </c>
      <c r="G140" s="67"/>
      <c r="H140" s="67"/>
      <c r="I140" s="67"/>
      <c r="J140" s="68"/>
      <c r="K140" s="69">
        <v>242196.11</v>
      </c>
      <c r="L140" s="69">
        <v>0</v>
      </c>
      <c r="M140" s="69">
        <f t="shared" si="25"/>
        <v>242196.11</v>
      </c>
      <c r="N140" s="69">
        <f t="shared" si="26"/>
        <v>140.791572</v>
      </c>
      <c r="O140" s="60">
        <f t="shared" si="27"/>
        <v>13.02322</v>
      </c>
      <c r="P140" s="60">
        <f t="shared" si="28"/>
        <v>127.76835200000001</v>
      </c>
      <c r="Q140" s="60">
        <f t="shared" si="29"/>
        <v>22403.139507476004</v>
      </c>
      <c r="R140" s="60">
        <f t="shared" si="30"/>
        <v>219792.970900922</v>
      </c>
      <c r="S140" s="70">
        <v>1</v>
      </c>
      <c r="T140" s="60">
        <f t="shared" si="31"/>
        <v>22403.139507</v>
      </c>
      <c r="U140" s="60">
        <f t="shared" si="32"/>
        <v>219792.970900922</v>
      </c>
      <c r="V140" s="60">
        <f t="shared" si="33"/>
        <v>242196.11040800001</v>
      </c>
    </row>
    <row r="141" spans="1:22" ht="19.5" customHeight="1">
      <c r="A141" s="57" t="s">
        <v>5</v>
      </c>
      <c r="B141" s="57" t="s">
        <v>144</v>
      </c>
      <c r="C141" s="56" t="s">
        <v>128</v>
      </c>
      <c r="D141" s="57" t="s">
        <v>165</v>
      </c>
      <c r="E141" s="64">
        <v>3641.2845430000002</v>
      </c>
      <c r="F141" s="64">
        <v>9.218</v>
      </c>
      <c r="G141" s="67"/>
      <c r="H141" s="67"/>
      <c r="I141" s="67"/>
      <c r="J141" s="68"/>
      <c r="K141" s="69">
        <v>543285.36</v>
      </c>
      <c r="L141" s="69">
        <v>0</v>
      </c>
      <c r="M141" s="69">
        <f t="shared" si="25"/>
        <v>543285.36</v>
      </c>
      <c r="N141" s="69">
        <f t="shared" si="26"/>
        <v>149.20156700000001</v>
      </c>
      <c r="O141" s="60">
        <f t="shared" si="27"/>
        <v>13.801145</v>
      </c>
      <c r="P141" s="60">
        <f t="shared" si="28"/>
        <v>135.40042200000002</v>
      </c>
      <c r="Q141" s="60">
        <f t="shared" si="29"/>
        <v>50253.895964201736</v>
      </c>
      <c r="R141" s="60">
        <f t="shared" si="30"/>
        <v>493031.46374427702</v>
      </c>
      <c r="S141" s="70">
        <v>1</v>
      </c>
      <c r="T141" s="60">
        <f t="shared" si="31"/>
        <v>50253.895964000003</v>
      </c>
      <c r="U141" s="60">
        <f t="shared" si="32"/>
        <v>493031.46374427702</v>
      </c>
      <c r="V141" s="60">
        <f t="shared" si="33"/>
        <v>543285.35970799997</v>
      </c>
    </row>
    <row r="142" spans="1:22" ht="19.5" customHeight="1">
      <c r="A142" s="57" t="s">
        <v>5</v>
      </c>
      <c r="B142" s="57" t="s">
        <v>138</v>
      </c>
      <c r="C142" s="56" t="s">
        <v>67</v>
      </c>
      <c r="D142" s="57" t="s">
        <v>142</v>
      </c>
      <c r="E142" s="64">
        <v>2700.9167440000001</v>
      </c>
      <c r="F142" s="64">
        <v>7.0419999999999998</v>
      </c>
      <c r="G142" s="67"/>
      <c r="H142" s="67"/>
      <c r="I142" s="67"/>
      <c r="J142" s="68"/>
      <c r="K142" s="69">
        <v>377160.37</v>
      </c>
      <c r="L142" s="69">
        <v>0</v>
      </c>
      <c r="M142" s="69">
        <f t="shared" si="25"/>
        <v>377160.37</v>
      </c>
      <c r="N142" s="69">
        <f t="shared" si="26"/>
        <v>139.64161300000001</v>
      </c>
      <c r="O142" s="60">
        <f t="shared" si="27"/>
        <v>12.916848999999999</v>
      </c>
      <c r="P142" s="60">
        <f t="shared" si="28"/>
        <v>126.72476400000001</v>
      </c>
      <c r="Q142" s="60">
        <f t="shared" si="29"/>
        <v>34887.333743819654</v>
      </c>
      <c r="R142" s="60">
        <f t="shared" si="30"/>
        <v>342273.03696704801</v>
      </c>
      <c r="S142" s="70">
        <v>1</v>
      </c>
      <c r="T142" s="60">
        <f t="shared" si="31"/>
        <v>34887.333744000003</v>
      </c>
      <c r="U142" s="60">
        <f t="shared" si="32"/>
        <v>342273.03696704801</v>
      </c>
      <c r="V142" s="60">
        <f t="shared" si="33"/>
        <v>377160.370711</v>
      </c>
    </row>
    <row r="143" spans="1:22" ht="19.5" customHeight="1">
      <c r="A143" s="57" t="s">
        <v>5</v>
      </c>
      <c r="B143" s="57" t="s">
        <v>138</v>
      </c>
      <c r="C143" s="56" t="s">
        <v>68</v>
      </c>
      <c r="D143" s="57" t="s">
        <v>143</v>
      </c>
      <c r="E143" s="64">
        <v>1937.884303</v>
      </c>
      <c r="F143" s="64">
        <v>6.4009999999999998</v>
      </c>
      <c r="G143" s="67"/>
      <c r="H143" s="67"/>
      <c r="I143" s="67"/>
      <c r="J143" s="68"/>
      <c r="K143" s="69">
        <v>267557.31</v>
      </c>
      <c r="L143" s="69">
        <v>0</v>
      </c>
      <c r="M143" s="69">
        <f t="shared" si="25"/>
        <v>267557.31</v>
      </c>
      <c r="N143" s="69">
        <f t="shared" si="26"/>
        <v>138.06671</v>
      </c>
      <c r="O143" s="60">
        <f t="shared" si="27"/>
        <v>12.771171000000001</v>
      </c>
      <c r="P143" s="60">
        <f t="shared" si="28"/>
        <v>125.29553900000001</v>
      </c>
      <c r="Q143" s="60">
        <f t="shared" si="29"/>
        <v>24749.051811828816</v>
      </c>
      <c r="R143" s="60">
        <f t="shared" si="30"/>
        <v>242808.25826402401</v>
      </c>
      <c r="S143" s="70">
        <v>1</v>
      </c>
      <c r="T143" s="60">
        <f t="shared" si="31"/>
        <v>24749.051812000002</v>
      </c>
      <c r="U143" s="60">
        <f t="shared" si="32"/>
        <v>242808.25826402401</v>
      </c>
      <c r="V143" s="60">
        <f t="shared" si="33"/>
        <v>267557.31007599999</v>
      </c>
    </row>
    <row r="144" spans="1:22" ht="19.5" customHeight="1">
      <c r="A144" s="57" t="s">
        <v>5</v>
      </c>
      <c r="B144" s="57" t="s">
        <v>138</v>
      </c>
      <c r="C144" s="56" t="s">
        <v>79</v>
      </c>
      <c r="D144" s="57" t="s">
        <v>80</v>
      </c>
      <c r="E144" s="64">
        <v>2781.0985809999997</v>
      </c>
      <c r="F144" s="64">
        <v>7.4269999999999996</v>
      </c>
      <c r="G144" s="67"/>
      <c r="H144" s="67"/>
      <c r="I144" s="67"/>
      <c r="J144" s="68"/>
      <c r="K144" s="69">
        <v>388357.1</v>
      </c>
      <c r="L144" s="69">
        <v>0</v>
      </c>
      <c r="M144" s="69">
        <f t="shared" si="25"/>
        <v>388357.1</v>
      </c>
      <c r="N144" s="69">
        <f t="shared" si="26"/>
        <v>139.641616</v>
      </c>
      <c r="O144" s="60">
        <f t="shared" si="27"/>
        <v>12.916848999999999</v>
      </c>
      <c r="P144" s="60">
        <f t="shared" si="28"/>
        <v>126.724767</v>
      </c>
      <c r="Q144" s="60">
        <f t="shared" si="29"/>
        <v>35923.030424891265</v>
      </c>
      <c r="R144" s="60">
        <f t="shared" si="30"/>
        <v>352434.06968125602</v>
      </c>
      <c r="S144" s="70">
        <v>1</v>
      </c>
      <c r="T144" s="60">
        <f t="shared" si="31"/>
        <v>35923.030424999997</v>
      </c>
      <c r="U144" s="60">
        <f t="shared" si="32"/>
        <v>352434.06968125602</v>
      </c>
      <c r="V144" s="60">
        <f t="shared" si="33"/>
        <v>388357.10010600003</v>
      </c>
    </row>
    <row r="145" spans="1:22" ht="19.5" customHeight="1">
      <c r="A145" s="57" t="s">
        <v>5</v>
      </c>
      <c r="B145" s="57" t="s">
        <v>138</v>
      </c>
      <c r="C145" s="56" t="s">
        <v>129</v>
      </c>
      <c r="D145" s="57" t="s">
        <v>130</v>
      </c>
      <c r="E145" s="64">
        <v>301.36511200000001</v>
      </c>
      <c r="F145" s="64">
        <v>0.77600000000000002</v>
      </c>
      <c r="G145" s="67"/>
      <c r="H145" s="67"/>
      <c r="I145" s="67"/>
      <c r="J145" s="68"/>
      <c r="K145" s="69">
        <v>42241.32</v>
      </c>
      <c r="L145" s="69">
        <v>0</v>
      </c>
      <c r="M145" s="69">
        <f t="shared" si="25"/>
        <v>42241.32</v>
      </c>
      <c r="N145" s="69">
        <f t="shared" si="26"/>
        <v>140.16659000000001</v>
      </c>
      <c r="O145" s="60">
        <f t="shared" si="27"/>
        <v>12.96541</v>
      </c>
      <c r="P145" s="60">
        <f t="shared" si="28"/>
        <v>127.20118000000001</v>
      </c>
      <c r="Q145" s="60">
        <f t="shared" si="29"/>
        <v>3907.3222367759204</v>
      </c>
      <c r="R145" s="60">
        <f t="shared" si="30"/>
        <v>38333.9978572322</v>
      </c>
      <c r="S145" s="70">
        <v>1</v>
      </c>
      <c r="T145" s="60">
        <f t="shared" si="31"/>
        <v>3907.3222369999999</v>
      </c>
      <c r="U145" s="60">
        <f t="shared" si="32"/>
        <v>38333.9978572322</v>
      </c>
      <c r="V145" s="60">
        <f t="shared" si="33"/>
        <v>42241.320094000002</v>
      </c>
    </row>
    <row r="146" spans="1:22" ht="19.5" customHeight="1">
      <c r="A146" s="57" t="s">
        <v>5</v>
      </c>
      <c r="B146" s="57" t="s">
        <v>138</v>
      </c>
      <c r="C146" s="56" t="s">
        <v>131</v>
      </c>
      <c r="D146" s="57" t="s">
        <v>132</v>
      </c>
      <c r="E146" s="64">
        <v>1155.480053</v>
      </c>
      <c r="F146" s="64">
        <v>4.0570000000000004</v>
      </c>
      <c r="G146" s="67"/>
      <c r="H146" s="67"/>
      <c r="I146" s="67"/>
      <c r="J146" s="68"/>
      <c r="K146" s="69">
        <v>159533.32999999999</v>
      </c>
      <c r="L146" s="69">
        <v>0</v>
      </c>
      <c r="M146" s="69">
        <f t="shared" si="25"/>
        <v>159533.32999999999</v>
      </c>
      <c r="N146" s="69">
        <f t="shared" si="26"/>
        <v>138.066711</v>
      </c>
      <c r="O146" s="60">
        <f t="shared" si="27"/>
        <v>12.771171000000001</v>
      </c>
      <c r="P146" s="60">
        <f t="shared" si="28"/>
        <v>125.29554</v>
      </c>
      <c r="Q146" s="60">
        <f t="shared" si="29"/>
        <v>14756.833343952063</v>
      </c>
      <c r="R146" s="60">
        <f t="shared" si="30"/>
        <v>144776.49719986401</v>
      </c>
      <c r="S146" s="70">
        <v>1</v>
      </c>
      <c r="T146" s="60">
        <f t="shared" si="31"/>
        <v>14756.833344000001</v>
      </c>
      <c r="U146" s="60">
        <f t="shared" si="32"/>
        <v>144776.49719986401</v>
      </c>
      <c r="V146" s="60">
        <f t="shared" si="33"/>
        <v>159533.330544</v>
      </c>
    </row>
    <row r="147" spans="1:22" ht="19.5" customHeight="1">
      <c r="A147" s="57" t="s">
        <v>5</v>
      </c>
      <c r="B147" s="57" t="s">
        <v>138</v>
      </c>
      <c r="C147" s="56" t="s">
        <v>152</v>
      </c>
      <c r="D147" s="57" t="s">
        <v>153</v>
      </c>
      <c r="E147" s="64">
        <v>241.134086</v>
      </c>
      <c r="F147" s="64">
        <v>1.147</v>
      </c>
      <c r="G147" s="67"/>
      <c r="H147" s="67"/>
      <c r="I147" s="67"/>
      <c r="J147" s="68"/>
      <c r="K147" s="69">
        <v>41710.68</v>
      </c>
      <c r="L147" s="69">
        <v>0</v>
      </c>
      <c r="M147" s="69">
        <f t="shared" si="25"/>
        <v>41710.68</v>
      </c>
      <c r="N147" s="69">
        <f t="shared" si="26"/>
        <v>172.97712100000001</v>
      </c>
      <c r="O147" s="60">
        <f t="shared" si="27"/>
        <v>16.000384</v>
      </c>
      <c r="P147" s="60">
        <f t="shared" si="28"/>
        <v>156.97673700000001</v>
      </c>
      <c r="Q147" s="60">
        <f t="shared" si="29"/>
        <v>3858.2379714890239</v>
      </c>
      <c r="R147" s="60">
        <f t="shared" si="30"/>
        <v>37852.4419997574</v>
      </c>
      <c r="S147" s="70">
        <v>1</v>
      </c>
      <c r="T147" s="60">
        <f t="shared" si="31"/>
        <v>3858.237971</v>
      </c>
      <c r="U147" s="60">
        <f t="shared" si="32"/>
        <v>37852.4419997574</v>
      </c>
      <c r="V147" s="60">
        <f t="shared" si="33"/>
        <v>41710.679970999998</v>
      </c>
    </row>
    <row r="148" spans="1:22" ht="19.5" customHeight="1">
      <c r="A148" s="57" t="s">
        <v>5</v>
      </c>
      <c r="B148" s="57" t="s">
        <v>138</v>
      </c>
      <c r="C148" s="56" t="s">
        <v>100</v>
      </c>
      <c r="D148" s="57" t="s">
        <v>101</v>
      </c>
      <c r="E148" s="64">
        <v>141.822709</v>
      </c>
      <c r="F148" s="64">
        <v>0.53700000000000003</v>
      </c>
      <c r="G148" s="67"/>
      <c r="H148" s="67"/>
      <c r="I148" s="67"/>
      <c r="J148" s="68"/>
      <c r="K148" s="69">
        <v>24532.09</v>
      </c>
      <c r="L148" s="69">
        <v>0</v>
      </c>
      <c r="M148" s="69">
        <f t="shared" si="25"/>
        <v>24532.09</v>
      </c>
      <c r="N148" s="69">
        <f t="shared" si="26"/>
        <v>172.97716399999999</v>
      </c>
      <c r="O148" s="60">
        <f t="shared" si="27"/>
        <v>16.000388000000001</v>
      </c>
      <c r="P148" s="60">
        <f t="shared" si="28"/>
        <v>156.97677599999997</v>
      </c>
      <c r="Q148" s="60">
        <f t="shared" si="29"/>
        <v>2269.2183712110923</v>
      </c>
      <c r="R148" s="60">
        <f t="shared" si="30"/>
        <v>22262.871622406201</v>
      </c>
      <c r="S148" s="70">
        <v>1</v>
      </c>
      <c r="T148" s="60">
        <f t="shared" si="31"/>
        <v>2269.2183709999999</v>
      </c>
      <c r="U148" s="60">
        <f t="shared" si="32"/>
        <v>22262.871622406201</v>
      </c>
      <c r="V148" s="60">
        <f t="shared" si="33"/>
        <v>24532.089993000001</v>
      </c>
    </row>
    <row r="149" spans="1:22" ht="19.5" customHeight="1">
      <c r="A149" s="57" t="s">
        <v>5</v>
      </c>
      <c r="B149" s="57" t="s">
        <v>138</v>
      </c>
      <c r="C149" s="56" t="s">
        <v>133</v>
      </c>
      <c r="D149" s="57" t="s">
        <v>134</v>
      </c>
      <c r="E149" s="64">
        <v>1062.8567150000001</v>
      </c>
      <c r="F149" s="64">
        <v>3.7320000000000002</v>
      </c>
      <c r="G149" s="67"/>
      <c r="H149" s="67"/>
      <c r="I149" s="67"/>
      <c r="J149" s="68"/>
      <c r="K149" s="69">
        <v>148419.03</v>
      </c>
      <c r="L149" s="69">
        <v>0</v>
      </c>
      <c r="M149" s="69">
        <f t="shared" si="25"/>
        <v>148419.03</v>
      </c>
      <c r="N149" s="69">
        <f t="shared" si="26"/>
        <v>139.641617</v>
      </c>
      <c r="O149" s="60">
        <f t="shared" si="27"/>
        <v>12.91685</v>
      </c>
      <c r="P149" s="60">
        <f t="shared" si="28"/>
        <v>126.724767</v>
      </c>
      <c r="Q149" s="60">
        <f t="shared" si="29"/>
        <v>13728.760759147752</v>
      </c>
      <c r="R149" s="60">
        <f t="shared" si="30"/>
        <v>134690.26956275999</v>
      </c>
      <c r="S149" s="70">
        <v>1</v>
      </c>
      <c r="T149" s="60">
        <f t="shared" si="31"/>
        <v>13728.760759000001</v>
      </c>
      <c r="U149" s="60">
        <f t="shared" si="32"/>
        <v>134690.26956275999</v>
      </c>
      <c r="V149" s="60">
        <f t="shared" si="33"/>
        <v>148419.03032200001</v>
      </c>
    </row>
    <row r="150" spans="1:22" ht="19.5" customHeight="1">
      <c r="A150" s="57" t="s">
        <v>5</v>
      </c>
      <c r="B150" s="57" t="s">
        <v>138</v>
      </c>
      <c r="C150" s="56" t="s">
        <v>102</v>
      </c>
      <c r="D150" s="57" t="s">
        <v>103</v>
      </c>
      <c r="E150" s="64">
        <v>81.149000000000001</v>
      </c>
      <c r="F150" s="64">
        <v>0.82299999999999995</v>
      </c>
      <c r="G150" s="67"/>
      <c r="H150" s="67"/>
      <c r="I150" s="67"/>
      <c r="J150" s="68"/>
      <c r="K150" s="69">
        <v>14036.92</v>
      </c>
      <c r="L150" s="69">
        <v>0</v>
      </c>
      <c r="M150" s="69">
        <f t="shared" si="25"/>
        <v>14036.92</v>
      </c>
      <c r="N150" s="69">
        <f t="shared" si="26"/>
        <v>172.977116</v>
      </c>
      <c r="O150" s="60">
        <f t="shared" si="27"/>
        <v>16.000382999999999</v>
      </c>
      <c r="P150" s="60">
        <f t="shared" si="28"/>
        <v>156.976733</v>
      </c>
      <c r="Q150" s="60">
        <f t="shared" si="29"/>
        <v>1298.415080067</v>
      </c>
      <c r="R150" s="60">
        <f t="shared" si="30"/>
        <v>12738.504906217</v>
      </c>
      <c r="S150" s="70">
        <v>1</v>
      </c>
      <c r="T150" s="60">
        <f t="shared" si="31"/>
        <v>1298.41508</v>
      </c>
      <c r="U150" s="60">
        <f t="shared" si="32"/>
        <v>12738.504906217</v>
      </c>
      <c r="V150" s="60">
        <f t="shared" si="33"/>
        <v>14036.919986000001</v>
      </c>
    </row>
    <row r="151" spans="1:22" ht="19.5" customHeight="1">
      <c r="A151" s="57" t="s">
        <v>5</v>
      </c>
      <c r="B151" s="57" t="s">
        <v>138</v>
      </c>
      <c r="C151" s="56" t="s">
        <v>104</v>
      </c>
      <c r="D151" s="57" t="s">
        <v>105</v>
      </c>
      <c r="E151" s="64">
        <v>954.44471599999997</v>
      </c>
      <c r="F151" s="64">
        <v>4.0570000000000004</v>
      </c>
      <c r="G151" s="67"/>
      <c r="H151" s="67"/>
      <c r="I151" s="67"/>
      <c r="J151" s="68"/>
      <c r="K151" s="69">
        <v>133280.21</v>
      </c>
      <c r="L151" s="69">
        <v>0</v>
      </c>
      <c r="M151" s="69">
        <f t="shared" si="25"/>
        <v>133280.21</v>
      </c>
      <c r="N151" s="69">
        <f t="shared" si="26"/>
        <v>139.64162400000001</v>
      </c>
      <c r="O151" s="60">
        <f t="shared" si="27"/>
        <v>12.91685</v>
      </c>
      <c r="P151" s="60">
        <f t="shared" si="28"/>
        <v>126.72477400000001</v>
      </c>
      <c r="Q151" s="60">
        <f t="shared" si="29"/>
        <v>12328.419229864599</v>
      </c>
      <c r="R151" s="60">
        <f t="shared" si="30"/>
        <v>120951.790930594</v>
      </c>
      <c r="S151" s="70">
        <v>1</v>
      </c>
      <c r="T151" s="60">
        <f t="shared" si="31"/>
        <v>12328.41923</v>
      </c>
      <c r="U151" s="60">
        <f t="shared" si="32"/>
        <v>120951.790930594</v>
      </c>
      <c r="V151" s="60">
        <f t="shared" si="33"/>
        <v>133280.210161</v>
      </c>
    </row>
    <row r="152" spans="1:22" ht="19.5" customHeight="1">
      <c r="A152" s="57" t="s">
        <v>5</v>
      </c>
      <c r="B152" s="57" t="s">
        <v>138</v>
      </c>
      <c r="C152" s="56" t="s">
        <v>106</v>
      </c>
      <c r="D152" s="57" t="s">
        <v>107</v>
      </c>
      <c r="E152" s="64">
        <v>1726.722444</v>
      </c>
      <c r="F152" s="64">
        <v>5.6820000000000004</v>
      </c>
      <c r="G152" s="67"/>
      <c r="H152" s="67"/>
      <c r="I152" s="67"/>
      <c r="J152" s="68"/>
      <c r="K152" s="69">
        <v>243107.97</v>
      </c>
      <c r="L152" s="69">
        <v>0</v>
      </c>
      <c r="M152" s="69">
        <f t="shared" si="25"/>
        <v>243107.97</v>
      </c>
      <c r="N152" s="69">
        <f t="shared" si="26"/>
        <v>140.791574</v>
      </c>
      <c r="O152" s="60">
        <f t="shared" si="27"/>
        <v>13.023220999999999</v>
      </c>
      <c r="P152" s="60">
        <f t="shared" si="28"/>
        <v>127.76835299999999</v>
      </c>
      <c r="Q152" s="60">
        <f t="shared" si="29"/>
        <v>22487.487993872124</v>
      </c>
      <c r="R152" s="60">
        <f t="shared" si="30"/>
        <v>220620.48275801499</v>
      </c>
      <c r="S152" s="70">
        <v>1</v>
      </c>
      <c r="T152" s="60">
        <f t="shared" si="31"/>
        <v>22487.487993999999</v>
      </c>
      <c r="U152" s="60">
        <f t="shared" si="32"/>
        <v>220620.48275801499</v>
      </c>
      <c r="V152" s="60">
        <f t="shared" si="33"/>
        <v>243107.97075199999</v>
      </c>
    </row>
    <row r="153" spans="1:22" ht="19.5" customHeight="1">
      <c r="A153" s="57" t="s">
        <v>5</v>
      </c>
      <c r="B153" s="57" t="s">
        <v>138</v>
      </c>
      <c r="C153" s="56" t="s">
        <v>81</v>
      </c>
      <c r="D153" s="57" t="s">
        <v>82</v>
      </c>
      <c r="E153" s="64">
        <v>317.36017499999997</v>
      </c>
      <c r="F153" s="64">
        <v>1.0720000000000001</v>
      </c>
      <c r="G153" s="67"/>
      <c r="H153" s="67"/>
      <c r="I153" s="67"/>
      <c r="J153" s="68"/>
      <c r="K153" s="69">
        <v>54896.05</v>
      </c>
      <c r="L153" s="69">
        <v>0</v>
      </c>
      <c r="M153" s="69">
        <f t="shared" si="25"/>
        <v>54896.05</v>
      </c>
      <c r="N153" s="69">
        <f t="shared" si="26"/>
        <v>172.97712300000001</v>
      </c>
      <c r="O153" s="60">
        <f t="shared" si="27"/>
        <v>16.000384</v>
      </c>
      <c r="P153" s="60">
        <f t="shared" si="28"/>
        <v>156.97673900000001</v>
      </c>
      <c r="Q153" s="60">
        <f t="shared" si="29"/>
        <v>5077.8846663072</v>
      </c>
      <c r="R153" s="60">
        <f t="shared" si="30"/>
        <v>49818.165359969302</v>
      </c>
      <c r="S153" s="70">
        <v>1</v>
      </c>
      <c r="T153" s="60">
        <f t="shared" si="31"/>
        <v>5077.8846659999999</v>
      </c>
      <c r="U153" s="60">
        <f t="shared" si="32"/>
        <v>49818.165359969302</v>
      </c>
      <c r="V153" s="60">
        <f t="shared" si="33"/>
        <v>54896.050025999997</v>
      </c>
    </row>
    <row r="154" spans="1:22" ht="19.5" customHeight="1">
      <c r="A154" s="57" t="s">
        <v>5</v>
      </c>
      <c r="B154" s="57" t="s">
        <v>138</v>
      </c>
      <c r="C154" s="56" t="s">
        <v>108</v>
      </c>
      <c r="D154" s="57" t="s">
        <v>109</v>
      </c>
      <c r="E154" s="64">
        <v>1804.6647849999999</v>
      </c>
      <c r="F154" s="64">
        <v>8.3490000000000002</v>
      </c>
      <c r="G154" s="67"/>
      <c r="H154" s="67"/>
      <c r="I154" s="67"/>
      <c r="J154" s="68"/>
      <c r="K154" s="69">
        <v>252006.3</v>
      </c>
      <c r="L154" s="69">
        <v>0</v>
      </c>
      <c r="M154" s="69">
        <f t="shared" si="25"/>
        <v>252006.3</v>
      </c>
      <c r="N154" s="69">
        <f t="shared" si="26"/>
        <v>139.64161200000001</v>
      </c>
      <c r="O154" s="60">
        <f t="shared" si="27"/>
        <v>12.916848999999999</v>
      </c>
      <c r="P154" s="60">
        <f t="shared" si="28"/>
        <v>126.72476300000001</v>
      </c>
      <c r="Q154" s="60">
        <f t="shared" si="29"/>
        <v>23310.582523462464</v>
      </c>
      <c r="R154" s="60">
        <f t="shared" si="30"/>
        <v>228695.717173571</v>
      </c>
      <c r="S154" s="70">
        <v>1</v>
      </c>
      <c r="T154" s="60">
        <f t="shared" si="31"/>
        <v>23310.582523000001</v>
      </c>
      <c r="U154" s="60">
        <f t="shared" si="32"/>
        <v>228695.717173571</v>
      </c>
      <c r="V154" s="60">
        <f t="shared" si="33"/>
        <v>252006.29969700001</v>
      </c>
    </row>
    <row r="155" spans="1:22" ht="19.5" customHeight="1">
      <c r="A155" s="57" t="s">
        <v>5</v>
      </c>
      <c r="B155" s="57" t="s">
        <v>138</v>
      </c>
      <c r="C155" s="56" t="s">
        <v>110</v>
      </c>
      <c r="D155" s="57" t="s">
        <v>111</v>
      </c>
      <c r="E155" s="64">
        <v>2561.9771839999999</v>
      </c>
      <c r="F155" s="64">
        <v>7.375</v>
      </c>
      <c r="G155" s="67"/>
      <c r="H155" s="67"/>
      <c r="I155" s="67"/>
      <c r="J155" s="68"/>
      <c r="K155" s="69">
        <v>353723.76</v>
      </c>
      <c r="L155" s="69">
        <v>0</v>
      </c>
      <c r="M155" s="69">
        <f t="shared" si="25"/>
        <v>353723.76</v>
      </c>
      <c r="N155" s="69">
        <f t="shared" si="26"/>
        <v>138.06671</v>
      </c>
      <c r="O155" s="60">
        <f t="shared" si="27"/>
        <v>12.771171000000001</v>
      </c>
      <c r="P155" s="60">
        <f t="shared" si="28"/>
        <v>125.29553900000001</v>
      </c>
      <c r="Q155" s="60">
        <f t="shared" si="29"/>
        <v>32719.448714962466</v>
      </c>
      <c r="R155" s="60">
        <f t="shared" si="30"/>
        <v>321004.31217498198</v>
      </c>
      <c r="S155" s="70">
        <v>1</v>
      </c>
      <c r="T155" s="60">
        <f t="shared" si="31"/>
        <v>32719.448714999999</v>
      </c>
      <c r="U155" s="60">
        <f t="shared" si="32"/>
        <v>321004.31217498198</v>
      </c>
      <c r="V155" s="60">
        <f t="shared" si="33"/>
        <v>353723.76088999998</v>
      </c>
    </row>
    <row r="156" spans="1:22" ht="19.5" customHeight="1">
      <c r="A156" s="57" t="s">
        <v>5</v>
      </c>
      <c r="B156" s="57" t="s">
        <v>138</v>
      </c>
      <c r="C156" s="56" t="s">
        <v>154</v>
      </c>
      <c r="D156" s="57" t="s">
        <v>155</v>
      </c>
      <c r="E156" s="64">
        <v>1012.977127</v>
      </c>
      <c r="F156" s="64">
        <v>3.7320000000000002</v>
      </c>
      <c r="G156" s="67"/>
      <c r="H156" s="67"/>
      <c r="I156" s="67"/>
      <c r="J156" s="68"/>
      <c r="K156" s="69">
        <v>139858.42000000001</v>
      </c>
      <c r="L156" s="69">
        <v>0</v>
      </c>
      <c r="M156" s="69">
        <f t="shared" si="25"/>
        <v>139858.42000000001</v>
      </c>
      <c r="N156" s="69">
        <f t="shared" si="26"/>
        <v>138.066711</v>
      </c>
      <c r="O156" s="60">
        <f t="shared" si="27"/>
        <v>12.771171000000001</v>
      </c>
      <c r="P156" s="60">
        <f t="shared" si="28"/>
        <v>125.29554</v>
      </c>
      <c r="Q156" s="60">
        <f t="shared" si="29"/>
        <v>12936.904108005718</v>
      </c>
      <c r="R156" s="60">
        <f t="shared" si="30"/>
        <v>126921.516135114</v>
      </c>
      <c r="S156" s="70">
        <v>1</v>
      </c>
      <c r="T156" s="60">
        <f t="shared" si="31"/>
        <v>12936.904108000001</v>
      </c>
      <c r="U156" s="60">
        <f t="shared" si="32"/>
        <v>126921.516135114</v>
      </c>
      <c r="V156" s="60">
        <f t="shared" si="33"/>
        <v>139858.420243</v>
      </c>
    </row>
    <row r="157" spans="1:22" ht="19.5" customHeight="1">
      <c r="A157" s="57" t="s">
        <v>5</v>
      </c>
      <c r="B157" s="57" t="s">
        <v>138</v>
      </c>
      <c r="C157" s="56" t="s">
        <v>135</v>
      </c>
      <c r="D157" s="57" t="s">
        <v>136</v>
      </c>
      <c r="E157" s="64">
        <v>116.67096400000001</v>
      </c>
      <c r="F157" s="64">
        <v>0.53700000000000003</v>
      </c>
      <c r="G157" s="67"/>
      <c r="H157" s="67"/>
      <c r="I157" s="67"/>
      <c r="J157" s="68"/>
      <c r="K157" s="69">
        <v>20181.400000000001</v>
      </c>
      <c r="L157" s="69">
        <v>0</v>
      </c>
      <c r="M157" s="69">
        <f t="shared" si="25"/>
        <v>20181.400000000001</v>
      </c>
      <c r="N157" s="69">
        <f t="shared" si="26"/>
        <v>172.977057</v>
      </c>
      <c r="O157" s="60">
        <f t="shared" si="27"/>
        <v>16.000378000000001</v>
      </c>
      <c r="P157" s="60">
        <f t="shared" si="28"/>
        <v>156.97667899999999</v>
      </c>
      <c r="Q157" s="60">
        <f t="shared" si="29"/>
        <v>1866.7795256243924</v>
      </c>
      <c r="R157" s="60">
        <f t="shared" si="30"/>
        <v>18314.620464448599</v>
      </c>
      <c r="S157" s="70">
        <v>1</v>
      </c>
      <c r="T157" s="60">
        <f t="shared" si="31"/>
        <v>1866.779526</v>
      </c>
      <c r="U157" s="60">
        <f t="shared" si="32"/>
        <v>18314.620464448599</v>
      </c>
      <c r="V157" s="60">
        <f t="shared" si="33"/>
        <v>20181.399990000002</v>
      </c>
    </row>
    <row r="158" spans="1:22" ht="19.5" customHeight="1">
      <c r="A158" s="57" t="s">
        <v>5</v>
      </c>
      <c r="B158" s="57" t="s">
        <v>182</v>
      </c>
      <c r="C158" s="56" t="s">
        <v>172</v>
      </c>
      <c r="D158" s="57" t="s">
        <v>201</v>
      </c>
      <c r="E158" s="64">
        <v>36.528355000000005</v>
      </c>
      <c r="F158" s="64">
        <v>0.89100000000000001</v>
      </c>
      <c r="G158" s="67"/>
      <c r="H158" s="67"/>
      <c r="I158" s="67"/>
      <c r="J158" s="68"/>
      <c r="K158" s="69">
        <v>5598.35</v>
      </c>
      <c r="L158" s="69">
        <v>0</v>
      </c>
      <c r="M158" s="69">
        <f t="shared" si="25"/>
        <v>5598.35</v>
      </c>
      <c r="N158" s="69">
        <f t="shared" si="26"/>
        <v>153.260392</v>
      </c>
      <c r="O158" s="60">
        <f t="shared" si="27"/>
        <v>14.176586</v>
      </c>
      <c r="P158" s="60">
        <f t="shared" si="28"/>
        <v>139.08380599999998</v>
      </c>
      <c r="Q158" s="60">
        <f t="shared" si="29"/>
        <v>517.8473660960301</v>
      </c>
      <c r="R158" s="60">
        <f t="shared" si="30"/>
        <v>5080.5026403191296</v>
      </c>
      <c r="S158" s="70">
        <v>1</v>
      </c>
      <c r="T158" s="60">
        <f t="shared" si="31"/>
        <v>517.84736599999997</v>
      </c>
      <c r="U158" s="60">
        <f t="shared" si="32"/>
        <v>5080.5026403191296</v>
      </c>
      <c r="V158" s="60">
        <f t="shared" si="33"/>
        <v>5598.3500059999997</v>
      </c>
    </row>
    <row r="159" spans="1:22" ht="19.5" customHeight="1">
      <c r="A159" s="57" t="s">
        <v>5</v>
      </c>
      <c r="B159" s="57" t="s">
        <v>182</v>
      </c>
      <c r="C159" s="56" t="s">
        <v>173</v>
      </c>
      <c r="D159" s="57" t="s">
        <v>202</v>
      </c>
      <c r="E159" s="64">
        <v>838.42196100000001</v>
      </c>
      <c r="F159" s="64">
        <v>3.8719999999999999</v>
      </c>
      <c r="G159" s="67"/>
      <c r="H159" s="67"/>
      <c r="I159" s="67"/>
      <c r="J159" s="68"/>
      <c r="K159" s="69">
        <v>127252.9</v>
      </c>
      <c r="L159" s="69">
        <v>0</v>
      </c>
      <c r="M159" s="69">
        <f t="shared" ref="M159:M179" si="34">K159</f>
        <v>127252.9</v>
      </c>
      <c r="N159" s="69">
        <f t="shared" ref="N159:N179" si="35">ROUND(IF(E159=0,0,M159/E159),6)</f>
        <v>151.776678</v>
      </c>
      <c r="O159" s="60">
        <f t="shared" ref="O159:O179" si="36">ROUND(N159*0.0925,6)</f>
        <v>14.039343000000001</v>
      </c>
      <c r="P159" s="60">
        <f t="shared" ref="P159:P179" si="37">N159-O159</f>
        <v>137.737335</v>
      </c>
      <c r="Q159" s="60">
        <f t="shared" ref="Q159:Q179" si="38">E159*O159</f>
        <v>11770.893489211623</v>
      </c>
      <c r="R159" s="60">
        <f t="shared" ref="R159:R179" si="39">ROUND(E159*P159,12)</f>
        <v>115482.006513614</v>
      </c>
      <c r="S159" s="70">
        <v>1</v>
      </c>
      <c r="T159" s="60">
        <f t="shared" ref="T159:T179" si="40">ROUND(Q159*S159,6)</f>
        <v>11770.893489</v>
      </c>
      <c r="U159" s="60">
        <f t="shared" ref="U159:U179" si="41">R159</f>
        <v>115482.006513614</v>
      </c>
      <c r="V159" s="60">
        <f t="shared" ref="V159:V179" si="42">ROUND(SUM(T159:U159),6)</f>
        <v>127252.900003</v>
      </c>
    </row>
    <row r="160" spans="1:22" ht="19.5" customHeight="1">
      <c r="A160" s="57" t="s">
        <v>5</v>
      </c>
      <c r="B160" s="57" t="s">
        <v>182</v>
      </c>
      <c r="C160" s="56" t="s">
        <v>167</v>
      </c>
      <c r="D160" s="57" t="s">
        <v>203</v>
      </c>
      <c r="E160" s="64">
        <v>1312.8655409999999</v>
      </c>
      <c r="F160" s="64">
        <v>4.9279999999999999</v>
      </c>
      <c r="G160" s="67"/>
      <c r="H160" s="67"/>
      <c r="I160" s="67"/>
      <c r="J160" s="68"/>
      <c r="K160" s="69">
        <v>198616.78</v>
      </c>
      <c r="L160" s="69">
        <v>0</v>
      </c>
      <c r="M160" s="69">
        <f t="shared" si="34"/>
        <v>198616.78</v>
      </c>
      <c r="N160" s="69">
        <f t="shared" si="35"/>
        <v>151.28493599999999</v>
      </c>
      <c r="O160" s="60">
        <f t="shared" si="36"/>
        <v>13.993857</v>
      </c>
      <c r="P160" s="60">
        <f t="shared" si="37"/>
        <v>137.291079</v>
      </c>
      <c r="Q160" s="60">
        <f t="shared" si="38"/>
        <v>18372.052640981638</v>
      </c>
      <c r="R160" s="60">
        <f t="shared" si="39"/>
        <v>180244.72670580901</v>
      </c>
      <c r="S160" s="70">
        <v>1</v>
      </c>
      <c r="T160" s="60">
        <f t="shared" si="40"/>
        <v>18372.052640999998</v>
      </c>
      <c r="U160" s="60">
        <f t="shared" si="41"/>
        <v>180244.72670580901</v>
      </c>
      <c r="V160" s="60">
        <f t="shared" si="42"/>
        <v>198616.779347</v>
      </c>
    </row>
    <row r="161" spans="1:22" ht="19.5" customHeight="1">
      <c r="A161" s="57" t="s">
        <v>5</v>
      </c>
      <c r="B161" s="57" t="s">
        <v>182</v>
      </c>
      <c r="C161" s="56" t="s">
        <v>174</v>
      </c>
      <c r="D161" s="57" t="s">
        <v>204</v>
      </c>
      <c r="E161" s="64">
        <v>2824.0973490000001</v>
      </c>
      <c r="F161" s="64">
        <v>8.4480000000000004</v>
      </c>
      <c r="G161" s="67"/>
      <c r="H161" s="67"/>
      <c r="I161" s="67"/>
      <c r="J161" s="68"/>
      <c r="K161" s="69">
        <v>547144.55000000005</v>
      </c>
      <c r="L161" s="69">
        <v>0</v>
      </c>
      <c r="M161" s="69">
        <f t="shared" si="34"/>
        <v>547144.55000000005</v>
      </c>
      <c r="N161" s="69">
        <f t="shared" si="35"/>
        <v>193.74139099999999</v>
      </c>
      <c r="O161" s="60">
        <f t="shared" si="36"/>
        <v>17.921078999999999</v>
      </c>
      <c r="P161" s="60">
        <f t="shared" si="37"/>
        <v>175.820312</v>
      </c>
      <c r="Q161" s="60">
        <f t="shared" si="38"/>
        <v>50610.871695119567</v>
      </c>
      <c r="R161" s="60">
        <f t="shared" si="39"/>
        <v>496533.67701955303</v>
      </c>
      <c r="S161" s="70">
        <v>1</v>
      </c>
      <c r="T161" s="60">
        <f t="shared" si="40"/>
        <v>50610.871695000002</v>
      </c>
      <c r="U161" s="60">
        <f t="shared" si="41"/>
        <v>496533.67701955303</v>
      </c>
      <c r="V161" s="60">
        <f t="shared" si="42"/>
        <v>547144.54871500004</v>
      </c>
    </row>
    <row r="162" spans="1:22" ht="19.5" customHeight="1">
      <c r="A162" s="57" t="s">
        <v>5</v>
      </c>
      <c r="B162" s="57" t="s">
        <v>144</v>
      </c>
      <c r="C162" s="56" t="s">
        <v>175</v>
      </c>
      <c r="D162" s="57" t="s">
        <v>176</v>
      </c>
      <c r="E162" s="64">
        <v>4899.7445190000008</v>
      </c>
      <c r="F162" s="64">
        <v>11.066000000000001</v>
      </c>
      <c r="G162" s="67"/>
      <c r="H162" s="67"/>
      <c r="I162" s="67"/>
      <c r="J162" s="68"/>
      <c r="K162" s="69">
        <v>731049.56</v>
      </c>
      <c r="L162" s="69">
        <v>0</v>
      </c>
      <c r="M162" s="69">
        <f t="shared" si="34"/>
        <v>731049.56</v>
      </c>
      <c r="N162" s="69">
        <f t="shared" si="35"/>
        <v>149.20156700000001</v>
      </c>
      <c r="O162" s="60">
        <f t="shared" si="36"/>
        <v>13.801145</v>
      </c>
      <c r="P162" s="60">
        <f t="shared" si="37"/>
        <v>135.40042200000002</v>
      </c>
      <c r="Q162" s="60">
        <f t="shared" si="38"/>
        <v>67622.084569674262</v>
      </c>
      <c r="R162" s="60">
        <f t="shared" si="39"/>
        <v>663427.47556478705</v>
      </c>
      <c r="S162" s="70">
        <v>1</v>
      </c>
      <c r="T162" s="60">
        <f t="shared" si="40"/>
        <v>67622.084570000006</v>
      </c>
      <c r="U162" s="60">
        <f t="shared" si="41"/>
        <v>663427.47556478705</v>
      </c>
      <c r="V162" s="60">
        <f t="shared" si="42"/>
        <v>731049.56013500004</v>
      </c>
    </row>
    <row r="163" spans="1:22" ht="19.5" customHeight="1">
      <c r="A163" s="57" t="s">
        <v>5</v>
      </c>
      <c r="B163" s="57" t="s">
        <v>138</v>
      </c>
      <c r="C163" s="56" t="s">
        <v>168</v>
      </c>
      <c r="D163" s="57" t="s">
        <v>169</v>
      </c>
      <c r="E163" s="64">
        <v>3942.1673070000002</v>
      </c>
      <c r="F163" s="64">
        <v>11.122</v>
      </c>
      <c r="G163" s="67"/>
      <c r="H163" s="67"/>
      <c r="I163" s="67"/>
      <c r="J163" s="68"/>
      <c r="K163" s="69">
        <v>552560.12</v>
      </c>
      <c r="L163" s="69">
        <v>0</v>
      </c>
      <c r="M163" s="69">
        <f t="shared" si="34"/>
        <v>552560.12</v>
      </c>
      <c r="N163" s="69">
        <f t="shared" si="35"/>
        <v>140.166583</v>
      </c>
      <c r="O163" s="60">
        <f t="shared" si="36"/>
        <v>12.965408999999999</v>
      </c>
      <c r="P163" s="60">
        <f t="shared" si="37"/>
        <v>127.20117400000001</v>
      </c>
      <c r="Q163" s="60">
        <f t="shared" si="38"/>
        <v>51111.811481683566</v>
      </c>
      <c r="R163" s="60">
        <f t="shared" si="39"/>
        <v>501448.30955481803</v>
      </c>
      <c r="S163" s="70">
        <v>1</v>
      </c>
      <c r="T163" s="60">
        <f t="shared" si="40"/>
        <v>51111.811481999997</v>
      </c>
      <c r="U163" s="60">
        <f t="shared" si="41"/>
        <v>501448.30955481803</v>
      </c>
      <c r="V163" s="60">
        <f t="shared" si="42"/>
        <v>552560.12103699998</v>
      </c>
    </row>
    <row r="164" spans="1:22" ht="19.5" customHeight="1">
      <c r="A164" s="57" t="s">
        <v>5</v>
      </c>
      <c r="B164" s="57" t="s">
        <v>182</v>
      </c>
      <c r="C164" s="56" t="s">
        <v>177</v>
      </c>
      <c r="D164" s="57" t="s">
        <v>205</v>
      </c>
      <c r="E164" s="64">
        <v>167.44942900000001</v>
      </c>
      <c r="F164" s="64">
        <v>1.4079999999999999</v>
      </c>
      <c r="G164" s="67"/>
      <c r="H164" s="67"/>
      <c r="I164" s="67"/>
      <c r="J164" s="68"/>
      <c r="K164" s="69">
        <v>25414.92</v>
      </c>
      <c r="L164" s="69">
        <v>0</v>
      </c>
      <c r="M164" s="69">
        <f t="shared" si="34"/>
        <v>25414.92</v>
      </c>
      <c r="N164" s="69">
        <f t="shared" si="35"/>
        <v>151.77669</v>
      </c>
      <c r="O164" s="60">
        <f t="shared" si="36"/>
        <v>14.039344</v>
      </c>
      <c r="P164" s="60">
        <f t="shared" si="37"/>
        <v>137.737346</v>
      </c>
      <c r="Q164" s="60">
        <f t="shared" si="38"/>
        <v>2350.880136334576</v>
      </c>
      <c r="R164" s="60">
        <f t="shared" si="39"/>
        <v>23064.0399396754</v>
      </c>
      <c r="S164" s="70">
        <v>1</v>
      </c>
      <c r="T164" s="60">
        <f t="shared" si="40"/>
        <v>2350.8801360000002</v>
      </c>
      <c r="U164" s="60">
        <f t="shared" si="41"/>
        <v>23064.0399396754</v>
      </c>
      <c r="V164" s="60">
        <f t="shared" si="42"/>
        <v>25414.920075999999</v>
      </c>
    </row>
    <row r="165" spans="1:22" ht="19.5" customHeight="1">
      <c r="A165" s="57" t="s">
        <v>5</v>
      </c>
      <c r="B165" s="57" t="s">
        <v>182</v>
      </c>
      <c r="C165" s="56" t="s">
        <v>179</v>
      </c>
      <c r="D165" s="57" t="s">
        <v>16</v>
      </c>
      <c r="E165" s="64">
        <v>9675.8840059999984</v>
      </c>
      <c r="F165" s="64">
        <v>21.222999999999999</v>
      </c>
      <c r="G165" s="67"/>
      <c r="H165" s="67"/>
      <c r="I165" s="67"/>
      <c r="J165" s="68"/>
      <c r="K165" s="69">
        <v>1443657.06</v>
      </c>
      <c r="L165" s="69">
        <v>0</v>
      </c>
      <c r="M165" s="69">
        <f t="shared" si="34"/>
        <v>1443657.06</v>
      </c>
      <c r="N165" s="69">
        <f t="shared" si="35"/>
        <v>149.20156700000001</v>
      </c>
      <c r="O165" s="60">
        <f t="shared" si="36"/>
        <v>13.801145</v>
      </c>
      <c r="P165" s="60">
        <f t="shared" si="37"/>
        <v>135.40042200000002</v>
      </c>
      <c r="Q165" s="60">
        <f t="shared" si="38"/>
        <v>133538.27816998685</v>
      </c>
      <c r="R165" s="60">
        <f t="shared" si="39"/>
        <v>1310118.77763545</v>
      </c>
      <c r="S165" s="70">
        <v>1</v>
      </c>
      <c r="T165" s="60">
        <f t="shared" si="40"/>
        <v>133538.27817000001</v>
      </c>
      <c r="U165" s="60">
        <f t="shared" si="41"/>
        <v>1310118.77763545</v>
      </c>
      <c r="V165" s="60">
        <f t="shared" si="42"/>
        <v>1443657.055805</v>
      </c>
    </row>
    <row r="166" spans="1:22" ht="19.5" customHeight="1">
      <c r="A166" s="57" t="s">
        <v>5</v>
      </c>
      <c r="B166" s="57" t="s">
        <v>182</v>
      </c>
      <c r="C166" s="56" t="s">
        <v>180</v>
      </c>
      <c r="D166" s="57" t="s">
        <v>206</v>
      </c>
      <c r="E166" s="64">
        <v>64.994310999999996</v>
      </c>
      <c r="F166" s="64">
        <v>0.89100000000000001</v>
      </c>
      <c r="G166" s="67"/>
      <c r="H166" s="67"/>
      <c r="I166" s="67"/>
      <c r="J166" s="68"/>
      <c r="K166" s="69">
        <v>19739.830000000002</v>
      </c>
      <c r="L166" s="69">
        <v>0</v>
      </c>
      <c r="M166" s="69">
        <f t="shared" si="34"/>
        <v>19739.830000000002</v>
      </c>
      <c r="N166" s="69">
        <f t="shared" si="35"/>
        <v>303.716274</v>
      </c>
      <c r="O166" s="60">
        <f t="shared" si="36"/>
        <v>28.093755000000002</v>
      </c>
      <c r="P166" s="60">
        <f t="shared" si="37"/>
        <v>275.62251900000001</v>
      </c>
      <c r="Q166" s="60">
        <f t="shared" si="38"/>
        <v>1825.934249627805</v>
      </c>
      <c r="R166" s="60">
        <f t="shared" si="39"/>
        <v>17913.895718489399</v>
      </c>
      <c r="S166" s="70">
        <v>1</v>
      </c>
      <c r="T166" s="60">
        <f t="shared" si="40"/>
        <v>1825.93425</v>
      </c>
      <c r="U166" s="60">
        <f t="shared" si="41"/>
        <v>17913.895718489399</v>
      </c>
      <c r="V166" s="60">
        <f t="shared" si="42"/>
        <v>19739.829967999998</v>
      </c>
    </row>
    <row r="167" spans="1:22" ht="19.5" customHeight="1">
      <c r="A167" s="57" t="s">
        <v>5</v>
      </c>
      <c r="B167" s="57" t="s">
        <v>182</v>
      </c>
      <c r="C167" s="56" t="s">
        <v>181</v>
      </c>
      <c r="D167" s="57" t="s">
        <v>207</v>
      </c>
      <c r="E167" s="64">
        <v>2136.3929929999999</v>
      </c>
      <c r="F167" s="64">
        <v>4.9279999999999999</v>
      </c>
      <c r="G167" s="67"/>
      <c r="H167" s="67"/>
      <c r="I167" s="67"/>
      <c r="J167" s="68"/>
      <c r="K167" s="69">
        <v>324254.63</v>
      </c>
      <c r="L167" s="69">
        <v>0</v>
      </c>
      <c r="M167" s="69">
        <f t="shared" si="34"/>
        <v>324254.63</v>
      </c>
      <c r="N167" s="69">
        <f t="shared" si="35"/>
        <v>151.77667700000001</v>
      </c>
      <c r="O167" s="60">
        <f t="shared" si="36"/>
        <v>14.039343000000001</v>
      </c>
      <c r="P167" s="60">
        <f t="shared" si="37"/>
        <v>137.737334</v>
      </c>
      <c r="Q167" s="60">
        <f t="shared" si="38"/>
        <v>29993.5540115236</v>
      </c>
      <c r="R167" s="60">
        <f t="shared" si="39"/>
        <v>294261.07523210102</v>
      </c>
      <c r="S167" s="70">
        <v>1</v>
      </c>
      <c r="T167" s="60">
        <f t="shared" si="40"/>
        <v>29993.554012000001</v>
      </c>
      <c r="U167" s="60">
        <f t="shared" si="41"/>
        <v>294261.07523210102</v>
      </c>
      <c r="V167" s="60">
        <f t="shared" si="42"/>
        <v>324254.62924400001</v>
      </c>
    </row>
    <row r="168" spans="1:22" ht="19.5" customHeight="1">
      <c r="A168" s="57" t="s">
        <v>5</v>
      </c>
      <c r="B168" s="57" t="s">
        <v>182</v>
      </c>
      <c r="C168" s="56" t="s">
        <v>171</v>
      </c>
      <c r="D168" s="57" t="s">
        <v>208</v>
      </c>
      <c r="E168" s="64">
        <v>103.21326499999999</v>
      </c>
      <c r="F168" s="64">
        <v>0.89100000000000001</v>
      </c>
      <c r="G168" s="67"/>
      <c r="H168" s="67"/>
      <c r="I168" s="67"/>
      <c r="J168" s="68"/>
      <c r="K168" s="69">
        <v>30706.61</v>
      </c>
      <c r="L168" s="69">
        <v>0</v>
      </c>
      <c r="M168" s="69">
        <f t="shared" si="34"/>
        <v>30706.61</v>
      </c>
      <c r="N168" s="69">
        <f t="shared" si="35"/>
        <v>297.50643000000002</v>
      </c>
      <c r="O168" s="60">
        <f t="shared" si="36"/>
        <v>27.519345000000001</v>
      </c>
      <c r="P168" s="60">
        <f t="shared" si="37"/>
        <v>269.98708500000004</v>
      </c>
      <c r="Q168" s="60">
        <f t="shared" si="38"/>
        <v>2840.361448111425</v>
      </c>
      <c r="R168" s="60">
        <f t="shared" si="39"/>
        <v>27866.2485506825</v>
      </c>
      <c r="S168" s="70">
        <v>1</v>
      </c>
      <c r="T168" s="60">
        <f t="shared" si="40"/>
        <v>2840.3614480000001</v>
      </c>
      <c r="U168" s="60">
        <f t="shared" si="41"/>
        <v>27866.2485506825</v>
      </c>
      <c r="V168" s="60">
        <f t="shared" si="42"/>
        <v>30706.609999</v>
      </c>
    </row>
    <row r="169" spans="1:22" ht="19.5" customHeight="1">
      <c r="A169" s="57" t="s">
        <v>5</v>
      </c>
      <c r="B169" s="57" t="s">
        <v>55</v>
      </c>
      <c r="C169" s="56" t="s">
        <v>209</v>
      </c>
      <c r="D169" s="57" t="s">
        <v>210</v>
      </c>
      <c r="E169" s="64">
        <v>182.38114999999999</v>
      </c>
      <c r="F169" s="64">
        <v>0</v>
      </c>
      <c r="G169" s="67"/>
      <c r="H169" s="67"/>
      <c r="I169" s="67"/>
      <c r="J169" s="68"/>
      <c r="K169" s="69">
        <v>30267.02</v>
      </c>
      <c r="L169" s="69">
        <v>0</v>
      </c>
      <c r="M169" s="69">
        <f t="shared" si="34"/>
        <v>30267.02</v>
      </c>
      <c r="N169" s="69">
        <f t="shared" si="35"/>
        <v>165.95475999999999</v>
      </c>
      <c r="O169" s="60">
        <f t="shared" si="36"/>
        <v>15.350815000000001</v>
      </c>
      <c r="P169" s="60">
        <f t="shared" si="37"/>
        <v>150.60394499999998</v>
      </c>
      <c r="Q169" s="60">
        <f t="shared" si="38"/>
        <v>2799.6992931372502</v>
      </c>
      <c r="R169" s="60">
        <f t="shared" si="39"/>
        <v>27467.320683636699</v>
      </c>
      <c r="S169" s="70">
        <v>1</v>
      </c>
      <c r="T169" s="60">
        <f t="shared" si="40"/>
        <v>2799.6992930000001</v>
      </c>
      <c r="U169" s="60">
        <f t="shared" si="41"/>
        <v>27467.320683636699</v>
      </c>
      <c r="V169" s="60">
        <f t="shared" si="42"/>
        <v>30267.019977</v>
      </c>
    </row>
    <row r="170" spans="1:22" ht="19.5" customHeight="1">
      <c r="A170" s="57" t="s">
        <v>5</v>
      </c>
      <c r="B170" s="57" t="s">
        <v>55</v>
      </c>
      <c r="C170" s="56" t="s">
        <v>211</v>
      </c>
      <c r="D170" s="57" t="s">
        <v>212</v>
      </c>
      <c r="E170" s="64">
        <v>1890.8138700000002</v>
      </c>
      <c r="F170" s="64">
        <v>6.1749999999999998</v>
      </c>
      <c r="G170" s="67"/>
      <c r="H170" s="67"/>
      <c r="I170" s="67"/>
      <c r="J170" s="68"/>
      <c r="K170" s="69">
        <v>292892.43</v>
      </c>
      <c r="L170" s="69">
        <v>0</v>
      </c>
      <c r="M170" s="69">
        <f t="shared" si="34"/>
        <v>292892.43</v>
      </c>
      <c r="N170" s="69">
        <f t="shared" si="35"/>
        <v>154.90283600000001</v>
      </c>
      <c r="O170" s="60">
        <f t="shared" si="36"/>
        <v>14.328512</v>
      </c>
      <c r="P170" s="60">
        <f t="shared" si="37"/>
        <v>140.57432400000002</v>
      </c>
      <c r="Q170" s="60">
        <f t="shared" si="38"/>
        <v>27092.549226061441</v>
      </c>
      <c r="R170" s="60">
        <f t="shared" si="39"/>
        <v>265799.88158507401</v>
      </c>
      <c r="S170" s="70">
        <v>1</v>
      </c>
      <c r="T170" s="60">
        <f t="shared" si="40"/>
        <v>27092.549225999999</v>
      </c>
      <c r="U170" s="60">
        <f t="shared" si="41"/>
        <v>265799.88158507401</v>
      </c>
      <c r="V170" s="60">
        <f t="shared" si="42"/>
        <v>292892.430811</v>
      </c>
    </row>
    <row r="171" spans="1:22" ht="19.5" customHeight="1">
      <c r="A171" s="57" t="s">
        <v>5</v>
      </c>
      <c r="B171" s="57" t="s">
        <v>55</v>
      </c>
      <c r="C171" s="56" t="s">
        <v>213</v>
      </c>
      <c r="D171" s="57" t="s">
        <v>20</v>
      </c>
      <c r="E171" s="64">
        <v>2547.2895199999998</v>
      </c>
      <c r="F171" s="64">
        <v>8.4499999999999993</v>
      </c>
      <c r="G171" s="67"/>
      <c r="H171" s="67"/>
      <c r="I171" s="67"/>
      <c r="J171" s="68"/>
      <c r="K171" s="69">
        <v>394582.37</v>
      </c>
      <c r="L171" s="69">
        <v>0</v>
      </c>
      <c r="M171" s="69">
        <f t="shared" si="34"/>
        <v>394582.37</v>
      </c>
      <c r="N171" s="69">
        <f t="shared" si="35"/>
        <v>154.90283600000001</v>
      </c>
      <c r="O171" s="60">
        <f t="shared" si="36"/>
        <v>14.328512</v>
      </c>
      <c r="P171" s="60">
        <f t="shared" si="37"/>
        <v>140.57432400000002</v>
      </c>
      <c r="Q171" s="60">
        <f t="shared" si="38"/>
        <v>36498.868454794239</v>
      </c>
      <c r="R171" s="60">
        <f t="shared" si="39"/>
        <v>358083.50230628398</v>
      </c>
      <c r="S171" s="70">
        <v>1</v>
      </c>
      <c r="T171" s="60">
        <f t="shared" si="40"/>
        <v>36498.868455000003</v>
      </c>
      <c r="U171" s="60">
        <f t="shared" si="41"/>
        <v>358083.50230628398</v>
      </c>
      <c r="V171" s="60">
        <f t="shared" si="42"/>
        <v>394582.37076100003</v>
      </c>
    </row>
    <row r="172" spans="1:22" ht="19.5" customHeight="1">
      <c r="A172" s="57" t="s">
        <v>5</v>
      </c>
      <c r="B172" s="57" t="s">
        <v>55</v>
      </c>
      <c r="C172" s="56" t="s">
        <v>214</v>
      </c>
      <c r="D172" s="57" t="s">
        <v>7</v>
      </c>
      <c r="E172" s="64">
        <v>310.80111999999997</v>
      </c>
      <c r="F172" s="64">
        <v>0</v>
      </c>
      <c r="G172" s="67"/>
      <c r="H172" s="67"/>
      <c r="I172" s="67"/>
      <c r="J172" s="68"/>
      <c r="K172" s="69">
        <v>44365.52</v>
      </c>
      <c r="L172" s="69">
        <v>0</v>
      </c>
      <c r="M172" s="69">
        <f t="shared" si="34"/>
        <v>44365.52</v>
      </c>
      <c r="N172" s="69">
        <f t="shared" si="35"/>
        <v>142.745689</v>
      </c>
      <c r="O172" s="60">
        <f t="shared" si="36"/>
        <v>13.203976000000001</v>
      </c>
      <c r="P172" s="60">
        <f t="shared" si="37"/>
        <v>129.54171299999999</v>
      </c>
      <c r="Q172" s="60">
        <f t="shared" si="38"/>
        <v>4103.81052925312</v>
      </c>
      <c r="R172" s="60">
        <f t="shared" si="39"/>
        <v>40261.709487118598</v>
      </c>
      <c r="S172" s="70">
        <v>1</v>
      </c>
      <c r="T172" s="60">
        <f t="shared" si="40"/>
        <v>4103.8105290000003</v>
      </c>
      <c r="U172" s="60">
        <f t="shared" si="41"/>
        <v>40261.709487118598</v>
      </c>
      <c r="V172" s="60">
        <f t="shared" si="42"/>
        <v>44365.520016000002</v>
      </c>
    </row>
    <row r="173" spans="1:22" ht="19.5" customHeight="1">
      <c r="A173" s="57" t="s">
        <v>5</v>
      </c>
      <c r="B173" s="57" t="s">
        <v>55</v>
      </c>
      <c r="C173" s="56" t="s">
        <v>215</v>
      </c>
      <c r="D173" s="57" t="s">
        <v>9</v>
      </c>
      <c r="E173" s="64">
        <v>277.46797999999995</v>
      </c>
      <c r="F173" s="64">
        <v>0</v>
      </c>
      <c r="G173" s="67"/>
      <c r="H173" s="67"/>
      <c r="I173" s="67"/>
      <c r="J173" s="68"/>
      <c r="K173" s="69">
        <v>39607.35</v>
      </c>
      <c r="L173" s="69">
        <v>0</v>
      </c>
      <c r="M173" s="69">
        <f t="shared" si="34"/>
        <v>39607.35</v>
      </c>
      <c r="N173" s="69">
        <f t="shared" si="35"/>
        <v>142.74565999999999</v>
      </c>
      <c r="O173" s="60">
        <f t="shared" si="36"/>
        <v>13.203974000000001</v>
      </c>
      <c r="P173" s="60">
        <f t="shared" si="37"/>
        <v>129.541686</v>
      </c>
      <c r="Q173" s="60">
        <f t="shared" si="38"/>
        <v>3663.6799937525197</v>
      </c>
      <c r="R173" s="60">
        <f t="shared" si="39"/>
        <v>35943.669940214299</v>
      </c>
      <c r="S173" s="70">
        <v>1</v>
      </c>
      <c r="T173" s="60">
        <f t="shared" si="40"/>
        <v>3663.6799940000001</v>
      </c>
      <c r="U173" s="60">
        <f t="shared" si="41"/>
        <v>35943.669940214299</v>
      </c>
      <c r="V173" s="60">
        <f t="shared" si="42"/>
        <v>39607.349933999998</v>
      </c>
    </row>
    <row r="174" spans="1:22" ht="19.5" customHeight="1">
      <c r="A174" s="57" t="s">
        <v>5</v>
      </c>
      <c r="B174" s="57" t="s">
        <v>55</v>
      </c>
      <c r="C174" s="56" t="s">
        <v>216</v>
      </c>
      <c r="D174" s="57" t="s">
        <v>217</v>
      </c>
      <c r="E174" s="64">
        <v>2731.5671299999999</v>
      </c>
      <c r="F174" s="64">
        <v>6.1749999999999998</v>
      </c>
      <c r="G174" s="67"/>
      <c r="H174" s="67"/>
      <c r="I174" s="67"/>
      <c r="J174" s="68"/>
      <c r="K174" s="69">
        <v>423127.5</v>
      </c>
      <c r="L174" s="69">
        <v>0</v>
      </c>
      <c r="M174" s="69">
        <f t="shared" si="34"/>
        <v>423127.5</v>
      </c>
      <c r="N174" s="69">
        <f t="shared" si="35"/>
        <v>154.902838</v>
      </c>
      <c r="O174" s="60">
        <f t="shared" si="36"/>
        <v>14.328512999999999</v>
      </c>
      <c r="P174" s="60">
        <f t="shared" si="37"/>
        <v>140.57432500000002</v>
      </c>
      <c r="Q174" s="60">
        <f t="shared" si="38"/>
        <v>39139.295132577688</v>
      </c>
      <c r="R174" s="60">
        <f t="shared" si="39"/>
        <v>383988.205491937</v>
      </c>
      <c r="S174" s="70">
        <v>1</v>
      </c>
      <c r="T174" s="60">
        <f t="shared" si="40"/>
        <v>39139.295133</v>
      </c>
      <c r="U174" s="60">
        <f t="shared" si="41"/>
        <v>383988.205491937</v>
      </c>
      <c r="V174" s="60">
        <f t="shared" si="42"/>
        <v>423127.50062499999</v>
      </c>
    </row>
    <row r="175" spans="1:22" ht="19.5" customHeight="1">
      <c r="A175" s="57" t="s">
        <v>5</v>
      </c>
      <c r="B175" s="57" t="s">
        <v>70</v>
      </c>
      <c r="C175" s="56" t="s">
        <v>218</v>
      </c>
      <c r="D175" s="57" t="s">
        <v>15</v>
      </c>
      <c r="E175" s="64">
        <v>215.59859</v>
      </c>
      <c r="F175" s="64">
        <v>1.1879999999999999</v>
      </c>
      <c r="G175" s="67"/>
      <c r="H175" s="67"/>
      <c r="I175" s="67"/>
      <c r="J175" s="68"/>
      <c r="K175" s="69">
        <v>33074.300000000003</v>
      </c>
      <c r="L175" s="69">
        <v>0</v>
      </c>
      <c r="M175" s="69">
        <f t="shared" si="34"/>
        <v>33074.300000000003</v>
      </c>
      <c r="N175" s="69">
        <f t="shared" si="35"/>
        <v>153.406847</v>
      </c>
      <c r="O175" s="60">
        <f t="shared" si="36"/>
        <v>14.190132999999999</v>
      </c>
      <c r="P175" s="60">
        <f t="shared" si="37"/>
        <v>139.216714</v>
      </c>
      <c r="Q175" s="60">
        <f t="shared" si="38"/>
        <v>3059.3726667124697</v>
      </c>
      <c r="R175" s="60">
        <f t="shared" si="39"/>
        <v>30014.927242833299</v>
      </c>
      <c r="S175" s="70">
        <v>1</v>
      </c>
      <c r="T175" s="60">
        <f t="shared" si="40"/>
        <v>3059.3726670000001</v>
      </c>
      <c r="U175" s="60">
        <f t="shared" si="41"/>
        <v>30014.927242833299</v>
      </c>
      <c r="V175" s="60">
        <f t="shared" si="42"/>
        <v>33074.299910000002</v>
      </c>
    </row>
    <row r="176" spans="1:22" ht="19.5" customHeight="1">
      <c r="A176" s="57" t="s">
        <v>5</v>
      </c>
      <c r="B176" s="57" t="s">
        <v>70</v>
      </c>
      <c r="C176" s="56" t="s">
        <v>219</v>
      </c>
      <c r="D176" s="57" t="s">
        <v>220</v>
      </c>
      <c r="E176" s="64">
        <v>274.63339000000002</v>
      </c>
      <c r="F176" s="64">
        <v>0.89100000000000001</v>
      </c>
      <c r="G176" s="67"/>
      <c r="H176" s="67"/>
      <c r="I176" s="67"/>
      <c r="J176" s="68"/>
      <c r="K176" s="69">
        <v>42130.64</v>
      </c>
      <c r="L176" s="69">
        <v>0</v>
      </c>
      <c r="M176" s="69">
        <f t="shared" si="34"/>
        <v>42130.64</v>
      </c>
      <c r="N176" s="69">
        <f t="shared" si="35"/>
        <v>153.40683799999999</v>
      </c>
      <c r="O176" s="60">
        <f t="shared" si="36"/>
        <v>14.190132999999999</v>
      </c>
      <c r="P176" s="60">
        <f t="shared" si="37"/>
        <v>139.21670499999999</v>
      </c>
      <c r="Q176" s="60">
        <f t="shared" si="38"/>
        <v>3897.0843303408701</v>
      </c>
      <c r="R176" s="60">
        <f t="shared" si="39"/>
        <v>38233.555638780002</v>
      </c>
      <c r="S176" s="70">
        <v>1</v>
      </c>
      <c r="T176" s="60">
        <f t="shared" si="40"/>
        <v>3897.0843300000001</v>
      </c>
      <c r="U176" s="60">
        <f t="shared" si="41"/>
        <v>38233.555638780002</v>
      </c>
      <c r="V176" s="60">
        <f t="shared" si="42"/>
        <v>42130.639969000003</v>
      </c>
    </row>
    <row r="177" spans="1:22" ht="19.5" customHeight="1">
      <c r="A177" s="57" t="s">
        <v>5</v>
      </c>
      <c r="B177" s="57" t="s">
        <v>221</v>
      </c>
      <c r="C177" s="56" t="s">
        <v>222</v>
      </c>
      <c r="D177" s="57" t="s">
        <v>223</v>
      </c>
      <c r="E177" s="64">
        <v>395.83880699999997</v>
      </c>
      <c r="F177" s="64">
        <v>1.4079999999999999</v>
      </c>
      <c r="G177" s="67"/>
      <c r="H177" s="67"/>
      <c r="I177" s="67"/>
      <c r="J177" s="68"/>
      <c r="K177" s="69">
        <v>60079.09</v>
      </c>
      <c r="L177" s="69">
        <v>0</v>
      </c>
      <c r="M177" s="69">
        <f t="shared" si="34"/>
        <v>60079.09</v>
      </c>
      <c r="N177" s="69">
        <f t="shared" si="35"/>
        <v>151.77665500000001</v>
      </c>
      <c r="O177" s="60">
        <f t="shared" si="36"/>
        <v>14.039341</v>
      </c>
      <c r="P177" s="60">
        <f t="shared" si="37"/>
        <v>137.737314</v>
      </c>
      <c r="Q177" s="60">
        <f t="shared" si="38"/>
        <v>5557.3159925061864</v>
      </c>
      <c r="R177" s="60">
        <f t="shared" si="39"/>
        <v>54521.7740531444</v>
      </c>
      <c r="S177" s="70">
        <v>1</v>
      </c>
      <c r="T177" s="60">
        <f t="shared" si="40"/>
        <v>5557.3159930000002</v>
      </c>
      <c r="U177" s="60">
        <f t="shared" si="41"/>
        <v>54521.7740531444</v>
      </c>
      <c r="V177" s="60">
        <f t="shared" si="42"/>
        <v>60079.090045999998</v>
      </c>
    </row>
    <row r="178" spans="1:22" ht="19.5" customHeight="1">
      <c r="A178" s="57" t="s">
        <v>5</v>
      </c>
      <c r="B178" s="57" t="s">
        <v>138</v>
      </c>
      <c r="C178" s="56" t="s">
        <v>224</v>
      </c>
      <c r="D178" s="57" t="s">
        <v>14</v>
      </c>
      <c r="E178" s="64">
        <v>60.624351000000004</v>
      </c>
      <c r="F178" s="64">
        <v>1.4119999999999999</v>
      </c>
      <c r="G178" s="67"/>
      <c r="H178" s="67"/>
      <c r="I178" s="67"/>
      <c r="J178" s="68"/>
      <c r="K178" s="69">
        <v>8497.51</v>
      </c>
      <c r="L178" s="69">
        <v>0</v>
      </c>
      <c r="M178" s="69">
        <f t="shared" si="34"/>
        <v>8497.51</v>
      </c>
      <c r="N178" s="69">
        <f t="shared" si="35"/>
        <v>140.16661400000001</v>
      </c>
      <c r="O178" s="60">
        <f t="shared" si="36"/>
        <v>12.965412000000001</v>
      </c>
      <c r="P178" s="60">
        <f t="shared" si="37"/>
        <v>127.20120200000001</v>
      </c>
      <c r="Q178" s="60">
        <f t="shared" si="38"/>
        <v>786.01968794761206</v>
      </c>
      <c r="R178" s="60">
        <f t="shared" si="39"/>
        <v>7711.4903176698999</v>
      </c>
      <c r="S178" s="70">
        <v>1</v>
      </c>
      <c r="T178" s="60">
        <f t="shared" si="40"/>
        <v>786.01968799999997</v>
      </c>
      <c r="U178" s="60">
        <f t="shared" si="41"/>
        <v>7711.4903176698999</v>
      </c>
      <c r="V178" s="60">
        <f t="shared" si="42"/>
        <v>8497.5100060000004</v>
      </c>
    </row>
    <row r="179" spans="1:22" ht="19.5" customHeight="1">
      <c r="A179" s="57" t="s">
        <v>5</v>
      </c>
      <c r="B179" s="57" t="s">
        <v>138</v>
      </c>
      <c r="C179" s="56" t="s">
        <v>225</v>
      </c>
      <c r="D179" s="57" t="s">
        <v>226</v>
      </c>
      <c r="E179" s="64">
        <v>108.495724</v>
      </c>
      <c r="F179" s="64">
        <v>1.45</v>
      </c>
      <c r="G179" s="67"/>
      <c r="H179" s="67"/>
      <c r="I179" s="67"/>
      <c r="J179" s="68"/>
      <c r="K179" s="69">
        <v>16802.27</v>
      </c>
      <c r="L179" s="69">
        <v>0</v>
      </c>
      <c r="M179" s="69">
        <f t="shared" si="34"/>
        <v>16802.27</v>
      </c>
      <c r="N179" s="69">
        <f t="shared" si="35"/>
        <v>154.865735</v>
      </c>
      <c r="O179" s="60">
        <f t="shared" si="36"/>
        <v>14.32508</v>
      </c>
      <c r="P179" s="60">
        <f t="shared" si="37"/>
        <v>140.54065500000002</v>
      </c>
      <c r="Q179" s="60">
        <f t="shared" si="38"/>
        <v>1554.2099259579199</v>
      </c>
      <c r="R179" s="60">
        <f t="shared" si="39"/>
        <v>15248.0601156592</v>
      </c>
      <c r="S179" s="70">
        <v>1</v>
      </c>
      <c r="T179" s="60">
        <f t="shared" si="40"/>
        <v>1554.209926</v>
      </c>
      <c r="U179" s="60">
        <f t="shared" si="41"/>
        <v>15248.0601156592</v>
      </c>
      <c r="V179" s="60">
        <f t="shared" si="42"/>
        <v>16802.270042</v>
      </c>
    </row>
    <row r="180" spans="1:22" s="28" customFormat="1" ht="19.5" customHeight="1">
      <c r="E180" s="31">
        <f>SUBTOTAL(9,E94:E179)</f>
        <v>149597.57139600001</v>
      </c>
      <c r="V180" s="31">
        <f>SUBTOTAL(9,V94:V179)</f>
        <v>23305958.637550998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BE0C-A105-4EC0-AEF5-8FB0BD3EFD8A}">
  <dimension ref="A1:AG6"/>
  <sheetViews>
    <sheetView showGridLines="0" workbookViewId="0">
      <selection activeCell="C9" sqref="C9"/>
    </sheetView>
  </sheetViews>
  <sheetFormatPr defaultColWidth="9.1640625" defaultRowHeight="19.5" customHeight="1"/>
  <cols>
    <col min="1" max="1" width="26" customWidth="1"/>
    <col min="2" max="5" width="20.6640625" customWidth="1"/>
    <col min="6" max="6" width="16.1640625" customWidth="1"/>
    <col min="7" max="9" width="19.1640625" customWidth="1"/>
    <col min="10" max="11" width="20.6640625" customWidth="1"/>
  </cols>
  <sheetData>
    <row r="1" spans="1:33" ht="49.5" customHeight="1">
      <c r="B1" s="3"/>
      <c r="D1" s="23" t="str">
        <f>RESUMO!C1</f>
        <v>reembolso mensal CCC - AMAZONAS</v>
      </c>
    </row>
    <row r="2" spans="1:33" ht="19.5" customHeight="1">
      <c r="D2" s="24" t="s">
        <v>262</v>
      </c>
      <c r="E2" s="20">
        <f>RESUMO!C2</f>
        <v>46143</v>
      </c>
      <c r="F2" s="5"/>
      <c r="G2" s="5"/>
      <c r="H2" s="5"/>
      <c r="I2" s="5"/>
      <c r="K2" s="5"/>
      <c r="L2" s="5"/>
      <c r="M2" s="5"/>
      <c r="N2" s="5"/>
      <c r="O2" s="5"/>
    </row>
    <row r="3" spans="1:33" ht="19.5" customHeight="1">
      <c r="A3" s="9"/>
      <c r="B3" s="9"/>
      <c r="C3" s="9"/>
      <c r="D3" s="9"/>
      <c r="E3" s="9"/>
      <c r="F3" s="5"/>
      <c r="G3" s="5"/>
      <c r="H3" s="5"/>
      <c r="I3" s="5"/>
      <c r="J3" s="9"/>
      <c r="K3" s="10"/>
      <c r="L3" s="6"/>
      <c r="M3" s="6"/>
      <c r="N3" s="6"/>
      <c r="O3" s="6"/>
      <c r="P3" s="8"/>
      <c r="Q3" s="8"/>
      <c r="R3" s="7"/>
      <c r="S3" s="7"/>
      <c r="T3" s="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s="28" customFormat="1" ht="28">
      <c r="A4" s="55" t="s">
        <v>236</v>
      </c>
      <c r="B4" s="55" t="s">
        <v>346</v>
      </c>
      <c r="C4" s="55" t="s">
        <v>347</v>
      </c>
      <c r="D4" s="55" t="s">
        <v>348</v>
      </c>
      <c r="E4" s="55" t="s">
        <v>349</v>
      </c>
      <c r="F4" s="55" t="s">
        <v>363</v>
      </c>
      <c r="G4" s="55" t="str">
        <f>"IPCA atualizado"</f>
        <v>IPCA atualizado</v>
      </c>
      <c r="H4" s="55" t="s">
        <v>364</v>
      </c>
      <c r="I4" s="55" t="s">
        <v>350</v>
      </c>
      <c r="J4" s="55" t="s">
        <v>351</v>
      </c>
      <c r="K4" s="55" t="s">
        <v>352</v>
      </c>
      <c r="L4" s="25"/>
      <c r="M4" s="25"/>
      <c r="N4" s="25"/>
      <c r="O4" s="25"/>
      <c r="P4" s="26"/>
      <c r="Q4" s="26"/>
      <c r="R4" s="27"/>
      <c r="S4" s="27"/>
      <c r="T4" s="27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19.5" customHeight="1">
      <c r="A5" s="56" t="s">
        <v>365</v>
      </c>
      <c r="B5" s="57" t="s">
        <v>228</v>
      </c>
      <c r="C5" s="58">
        <f>80/1000</f>
        <v>0.08</v>
      </c>
      <c r="D5" s="59">
        <v>4330</v>
      </c>
      <c r="E5" s="60">
        <f>(D5*C5)</f>
        <v>346.40000000000003</v>
      </c>
      <c r="F5" s="61">
        <v>7359.06</v>
      </c>
      <c r="G5" s="61">
        <v>7359.06</v>
      </c>
      <c r="H5" s="61">
        <v>4311.83</v>
      </c>
      <c r="I5" s="62">
        <f>(4921.26+(H5*G5/F5))</f>
        <v>9233.09</v>
      </c>
      <c r="J5" s="60">
        <f>C5*$I$5</f>
        <v>738.6472</v>
      </c>
      <c r="K5" s="62">
        <f>D5*J5</f>
        <v>3198342.3760000002</v>
      </c>
      <c r="L5" s="6"/>
      <c r="M5" s="6"/>
      <c r="N5" s="6"/>
      <c r="O5" s="6"/>
      <c r="P5" s="8"/>
      <c r="Q5" s="8"/>
      <c r="R5" s="7"/>
      <c r="S5" s="7"/>
      <c r="T5" s="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28" customFormat="1" ht="19.5" customHeight="1">
      <c r="C6" s="29"/>
      <c r="D6" s="29"/>
      <c r="E6" s="49">
        <f>SUBTOTAL(9,E5:E5)</f>
        <v>346.40000000000003</v>
      </c>
      <c r="J6" s="54"/>
      <c r="K6" s="49">
        <f>SUBTOTAL(9,K5:K5)</f>
        <v>3198342.3760000002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RESUMO</vt:lpstr>
      <vt:lpstr>DSP 3418_2023</vt:lpstr>
      <vt:lpstr>COMBUSTÍVEL OD</vt:lpstr>
      <vt:lpstr>CONTRATOS CCVEE</vt:lpstr>
      <vt:lpstr>GERAÇÃO PRÓPRIA</vt:lpstr>
      <vt:lpstr>CONTRATOS GAS</vt:lpstr>
      <vt:lpstr>CONTRATOS CCESI</vt:lpstr>
      <vt:lpstr>SIGFI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2026-07-15T14:46:34Z</dcterms:modified>
</cp:coreProperties>
</file>