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2.xml" ContentType="application/vnd.openxmlformats-officedocument.spreadsheetml.comments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Z:\GCSE\CONTA CDE\CCEE - Operação\2026\03. Março\Pagamento\Reembolso Carvão\J&amp;F - 00.350.763.0024-59\"/>
    </mc:Choice>
  </mc:AlternateContent>
  <xr:revisionPtr revIDLastSave="0" documentId="8_{469F42B8-1C08-45C1-BE3E-7886E88DA762}" xr6:coauthVersionLast="47" xr6:coauthVersionMax="47" xr10:uidLastSave="{00000000-0000-0000-0000-000000000000}"/>
  <bookViews>
    <workbookView xWindow="-28920" yWindow="-120" windowWidth="29040" windowHeight="15720" tabRatio="576" activeTab="1" xr2:uid="{00000000-000D-0000-FFFF-FFFF00000000}"/>
  </bookViews>
  <sheets>
    <sheet name="Introdução" sheetId="17" r:id="rId1"/>
    <sheet name="Carvão &amp; Total" sheetId="2" r:id="rId2"/>
    <sheet name="NF carvão" sheetId="10" r:id="rId3"/>
    <sheet name="Secund" sheetId="1" r:id="rId4"/>
    <sheet name="NF Diesel" sheetId="4" r:id="rId5"/>
    <sheet name="ANP Diesel" sheetId="12" r:id="rId6"/>
    <sheet name="NF Óleo Comb" sheetId="13" r:id="rId7"/>
    <sheet name="ANP Óleo Comb" sheetId="11" r:id="rId8"/>
    <sheet name="Estoque Carv" sheetId="8" state="hidden" r:id="rId9"/>
    <sheet name="Parâmetros" sheetId="3" r:id="rId10"/>
    <sheet name="Acompanhamento Ea-1" sheetId="18" r:id="rId11"/>
    <sheet name="SCD" sheetId="15" r:id="rId12"/>
    <sheet name="Reprocessamentos" sheetId="20" r:id="rId13"/>
    <sheet name="Financeiro" sheetId="19" r:id="rId14"/>
    <sheet name="Exportação" sheetId="24" r:id="rId15"/>
    <sheet name="Fiscalização Financeira" sheetId="21" r:id="rId16"/>
    <sheet name="Tributos" sheetId="16" state="hidden" r:id="rId17"/>
  </sheets>
  <externalReferences>
    <externalReference r:id="rId18"/>
  </externalReferences>
  <definedNames>
    <definedName name="_xlnm._FilterDatabase" localSheetId="13" hidden="1">Financeiro!$B$6:$J$22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3" i="20" l="1"/>
  <c r="K12" i="20"/>
  <c r="K11" i="20"/>
  <c r="N18" i="19"/>
  <c r="M18" i="19"/>
  <c r="B18" i="19"/>
  <c r="N17" i="19"/>
  <c r="M17" i="19"/>
  <c r="B17" i="19"/>
  <c r="N16" i="19"/>
  <c r="M16" i="19"/>
  <c r="B16" i="19"/>
  <c r="N15" i="19"/>
  <c r="M15" i="19"/>
  <c r="B15" i="19"/>
  <c r="F58" i="18"/>
  <c r="J38" i="21"/>
  <c r="N11" i="1"/>
  <c r="N13" i="1"/>
  <c r="N15" i="1"/>
  <c r="N17" i="1"/>
  <c r="N19" i="1"/>
  <c r="N9" i="1"/>
  <c r="F34" i="24"/>
  <c r="E34" i="24"/>
  <c r="F8" i="24"/>
  <c r="I6" i="11"/>
  <c r="J6" i="11"/>
  <c r="K6" i="11"/>
  <c r="N6" i="11"/>
  <c r="O6" i="11" s="1"/>
  <c r="D8" i="1" s="1"/>
  <c r="I6" i="4"/>
  <c r="I7" i="4" s="1"/>
  <c r="I8" i="4" s="1"/>
  <c r="E58" i="18"/>
  <c r="C9" i="1"/>
  <c r="N7" i="13"/>
  <c r="G15" i="10"/>
  <c r="G14" i="10"/>
  <c r="E57" i="18"/>
  <c r="H14" i="19"/>
  <c r="H13" i="19"/>
  <c r="O15" i="19" l="1"/>
  <c r="O18" i="19"/>
  <c r="O16" i="19"/>
  <c r="O17" i="19"/>
  <c r="I10" i="20"/>
  <c r="K10" i="20" s="1"/>
  <c r="I9" i="20"/>
  <c r="K9" i="20" s="1"/>
  <c r="H8" i="20"/>
  <c r="I8" i="20" s="1"/>
  <c r="K8" i="20" s="1"/>
  <c r="H7" i="20"/>
  <c r="I7" i="20" s="1"/>
  <c r="K7" i="20" s="1"/>
  <c r="I6" i="20"/>
  <c r="K6" i="20" s="1"/>
  <c r="E7" i="2"/>
  <c r="F7" i="2" l="1"/>
  <c r="D18" i="3"/>
  <c r="F20" i="24"/>
  <c r="C8" i="1"/>
  <c r="C20" i="24" s="1"/>
  <c r="F8" i="1"/>
  <c r="F10" i="1" l="1"/>
  <c r="F11" i="1"/>
  <c r="F12" i="1"/>
  <c r="F13" i="1"/>
  <c r="F14" i="1"/>
  <c r="F15" i="1"/>
  <c r="F16" i="1"/>
  <c r="F17" i="1"/>
  <c r="F18" i="1"/>
  <c r="F19" i="1"/>
  <c r="F9" i="1"/>
  <c r="U6" i="4"/>
  <c r="D10" i="1"/>
  <c r="D11" i="1"/>
  <c r="D12" i="1"/>
  <c r="D13" i="1"/>
  <c r="D14" i="1"/>
  <c r="D15" i="1"/>
  <c r="D16" i="1"/>
  <c r="D17" i="1"/>
  <c r="D18" i="1"/>
  <c r="D19" i="1"/>
  <c r="H13" i="12" l="1"/>
  <c r="H17" i="12"/>
  <c r="H18" i="12"/>
  <c r="H19" i="12"/>
  <c r="D18" i="13"/>
  <c r="H19" i="13"/>
  <c r="K6" i="13" s="1"/>
  <c r="H18" i="13" l="1"/>
  <c r="F18" i="13"/>
  <c r="H6" i="13"/>
  <c r="H7" i="13"/>
  <c r="H8" i="13"/>
  <c r="H9" i="13"/>
  <c r="H10" i="13"/>
  <c r="H11" i="13"/>
  <c r="H12" i="13"/>
  <c r="H13" i="13"/>
  <c r="H14" i="13"/>
  <c r="H15" i="13"/>
  <c r="H16" i="13"/>
  <c r="E18" i="13"/>
  <c r="G18" i="13"/>
  <c r="G17" i="13"/>
  <c r="H17" i="13" s="1"/>
  <c r="G16" i="13"/>
  <c r="G9" i="10" l="1"/>
  <c r="G8" i="10"/>
  <c r="G10" i="10" s="1"/>
  <c r="D14" i="15"/>
  <c r="E14" i="15"/>
  <c r="F14" i="15"/>
  <c r="D17" i="15"/>
  <c r="E17" i="15"/>
  <c r="F17" i="15"/>
  <c r="D20" i="15"/>
  <c r="E20" i="15"/>
  <c r="F20" i="15"/>
  <c r="D23" i="15"/>
  <c r="E23" i="15"/>
  <c r="F23" i="15"/>
  <c r="D26" i="15"/>
  <c r="E26" i="15"/>
  <c r="F26" i="15"/>
  <c r="D29" i="15"/>
  <c r="E29" i="15"/>
  <c r="F29" i="15"/>
  <c r="D32" i="15"/>
  <c r="E32" i="15"/>
  <c r="F32" i="15"/>
  <c r="D35" i="15"/>
  <c r="E35" i="15"/>
  <c r="F35" i="15"/>
  <c r="D38" i="15"/>
  <c r="E38" i="15"/>
  <c r="F38" i="15"/>
  <c r="D41" i="15"/>
  <c r="E41" i="15"/>
  <c r="F41" i="15"/>
  <c r="D8" i="15"/>
  <c r="E8" i="15"/>
  <c r="F8" i="15"/>
  <c r="D58" i="18"/>
  <c r="D59" i="18"/>
  <c r="D60" i="18"/>
  <c r="D61" i="18"/>
  <c r="D62" i="18"/>
  <c r="D63" i="18"/>
  <c r="D64" i="18"/>
  <c r="D65" i="18"/>
  <c r="D66" i="18"/>
  <c r="D67" i="18"/>
  <c r="D68" i="18"/>
  <c r="D57" i="18"/>
  <c r="F57" i="18" s="1"/>
  <c r="F10" i="4"/>
  <c r="G10" i="4"/>
  <c r="H10" i="4"/>
  <c r="I10" i="4"/>
  <c r="F13" i="4"/>
  <c r="G13" i="4"/>
  <c r="H13" i="4"/>
  <c r="I13" i="4"/>
  <c r="F16" i="4"/>
  <c r="G16" i="4"/>
  <c r="H16" i="4"/>
  <c r="I16" i="4"/>
  <c r="F19" i="4"/>
  <c r="G19" i="4"/>
  <c r="H19" i="4"/>
  <c r="I19" i="4"/>
  <c r="F22" i="4"/>
  <c r="G22" i="4"/>
  <c r="H22" i="4"/>
  <c r="I22" i="4"/>
  <c r="F25" i="4"/>
  <c r="G25" i="4"/>
  <c r="H25" i="4"/>
  <c r="I25" i="4"/>
  <c r="F28" i="4"/>
  <c r="G28" i="4"/>
  <c r="H28" i="4"/>
  <c r="I28" i="4"/>
  <c r="F31" i="4"/>
  <c r="G31" i="4"/>
  <c r="H31" i="4"/>
  <c r="I31" i="4"/>
  <c r="F34" i="4"/>
  <c r="G34" i="4"/>
  <c r="H34" i="4"/>
  <c r="I34" i="4"/>
  <c r="F37" i="4"/>
  <c r="G37" i="4"/>
  <c r="H37" i="4"/>
  <c r="I37" i="4"/>
  <c r="F40" i="4"/>
  <c r="G40" i="4"/>
  <c r="H40" i="4"/>
  <c r="I40" i="4"/>
  <c r="E19" i="4"/>
  <c r="E40" i="4"/>
  <c r="D40" i="4"/>
  <c r="E37" i="4"/>
  <c r="D37" i="4"/>
  <c r="E34" i="4"/>
  <c r="D34" i="4"/>
  <c r="E31" i="4"/>
  <c r="D31" i="4"/>
  <c r="E28" i="4"/>
  <c r="D28" i="4"/>
  <c r="E25" i="4"/>
  <c r="D25" i="4"/>
  <c r="E22" i="4"/>
  <c r="D22" i="4"/>
  <c r="D19" i="4"/>
  <c r="E16" i="4"/>
  <c r="D16" i="4"/>
  <c r="E13" i="4"/>
  <c r="D13" i="4"/>
  <c r="E10" i="4"/>
  <c r="D10" i="4"/>
  <c r="D7" i="4"/>
  <c r="X16" i="4"/>
  <c r="X17" i="4"/>
  <c r="Y8" i="4"/>
  <c r="Y7" i="4"/>
  <c r="Y6" i="4"/>
  <c r="Y10" i="4"/>
  <c r="Y11" i="4"/>
  <c r="Y12" i="4"/>
  <c r="Y13" i="4"/>
  <c r="Y14" i="4"/>
  <c r="Y15" i="4"/>
  <c r="Y16" i="4"/>
  <c r="Y17" i="4"/>
  <c r="E8" i="12"/>
  <c r="F8" i="12" s="1"/>
  <c r="E9" i="12"/>
  <c r="F9" i="12" s="1"/>
  <c r="I9" i="12" s="1"/>
  <c r="O6" i="13"/>
  <c r="O7" i="13"/>
  <c r="O8" i="13"/>
  <c r="O9" i="13"/>
  <c r="O10" i="13"/>
  <c r="O11" i="13"/>
  <c r="G23" i="13"/>
  <c r="G24" i="13" s="1"/>
  <c r="D24" i="13"/>
  <c r="E24" i="13"/>
  <c r="F24" i="13"/>
  <c r="G26" i="13"/>
  <c r="G27" i="13" s="1"/>
  <c r="H26" i="13"/>
  <c r="H27" i="13" s="1"/>
  <c r="D27" i="13"/>
  <c r="E27" i="13"/>
  <c r="F27" i="13"/>
  <c r="H28" i="13"/>
  <c r="G29" i="13"/>
  <c r="H29" i="13" s="1"/>
  <c r="H30" i="13" s="1"/>
  <c r="D30" i="13"/>
  <c r="E30" i="13"/>
  <c r="F30" i="13"/>
  <c r="G32" i="13"/>
  <c r="G33" i="13" s="1"/>
  <c r="D33" i="13"/>
  <c r="E33" i="13"/>
  <c r="F33" i="13"/>
  <c r="H34" i="13"/>
  <c r="G35" i="13"/>
  <c r="G36" i="13" s="1"/>
  <c r="D36" i="13"/>
  <c r="E36" i="13"/>
  <c r="F36" i="13"/>
  <c r="G38" i="13"/>
  <c r="G39" i="13" s="1"/>
  <c r="D39" i="13"/>
  <c r="E39" i="13"/>
  <c r="F39" i="13"/>
  <c r="H40" i="13"/>
  <c r="G41" i="13"/>
  <c r="G42" i="13" s="1"/>
  <c r="D42" i="13"/>
  <c r="E42" i="13"/>
  <c r="F42" i="13"/>
  <c r="G44" i="13"/>
  <c r="G45" i="13" s="1"/>
  <c r="D45" i="13"/>
  <c r="E45" i="13"/>
  <c r="F45" i="13"/>
  <c r="H46" i="13"/>
  <c r="G47" i="13"/>
  <c r="H47" i="13" s="1"/>
  <c r="H48" i="13" s="1"/>
  <c r="D48" i="13"/>
  <c r="E48" i="13"/>
  <c r="F48" i="13"/>
  <c r="G50" i="13"/>
  <c r="G51" i="13" s="1"/>
  <c r="D51" i="13"/>
  <c r="E51" i="13"/>
  <c r="F51" i="13"/>
  <c r="H22" i="13"/>
  <c r="O12" i="13"/>
  <c r="O13" i="13"/>
  <c r="O14" i="13"/>
  <c r="O15" i="13"/>
  <c r="N16" i="13"/>
  <c r="O16" i="13"/>
  <c r="N17" i="13"/>
  <c r="O17" i="13"/>
  <c r="P8" i="1"/>
  <c r="R8" i="1"/>
  <c r="H8" i="24" s="1"/>
  <c r="P9" i="1"/>
  <c r="R9" i="1"/>
  <c r="P10" i="1"/>
  <c r="R10" i="1"/>
  <c r="P11" i="1"/>
  <c r="R11" i="1"/>
  <c r="P12" i="1"/>
  <c r="R12" i="1"/>
  <c r="P13" i="1"/>
  <c r="R13" i="1"/>
  <c r="P14" i="1"/>
  <c r="R14" i="1"/>
  <c r="P15" i="1"/>
  <c r="R15" i="1"/>
  <c r="P16" i="1"/>
  <c r="R16" i="1"/>
  <c r="P17" i="1"/>
  <c r="R17" i="1"/>
  <c r="P18" i="1"/>
  <c r="R18" i="1"/>
  <c r="P19" i="1"/>
  <c r="R19" i="1"/>
  <c r="H8" i="1"/>
  <c r="H9" i="1"/>
  <c r="C10" i="1"/>
  <c r="E10" i="1" s="1"/>
  <c r="G10" i="1" s="1"/>
  <c r="H10" i="1"/>
  <c r="C11" i="1"/>
  <c r="E11" i="1" s="1"/>
  <c r="G11" i="1" s="1"/>
  <c r="H11" i="1"/>
  <c r="C12" i="1"/>
  <c r="E12" i="1" s="1"/>
  <c r="G12" i="1" s="1"/>
  <c r="H12" i="1"/>
  <c r="C13" i="1"/>
  <c r="E13" i="1" s="1"/>
  <c r="G13" i="1" s="1"/>
  <c r="H13" i="1"/>
  <c r="C14" i="1"/>
  <c r="E14" i="1" s="1"/>
  <c r="G14" i="1" s="1"/>
  <c r="H14" i="1"/>
  <c r="C15" i="1"/>
  <c r="E15" i="1" s="1"/>
  <c r="G15" i="1" s="1"/>
  <c r="H15" i="1"/>
  <c r="C16" i="1"/>
  <c r="E16" i="1" s="1"/>
  <c r="G16" i="1" s="1"/>
  <c r="H16" i="1"/>
  <c r="C17" i="1"/>
  <c r="E17" i="1" s="1"/>
  <c r="G17" i="1" s="1"/>
  <c r="H17" i="1"/>
  <c r="C18" i="1"/>
  <c r="E18" i="1" s="1"/>
  <c r="G18" i="1" s="1"/>
  <c r="H18" i="1"/>
  <c r="C19" i="1"/>
  <c r="E19" i="1" s="1"/>
  <c r="G19" i="1" s="1"/>
  <c r="H19" i="1"/>
  <c r="F64" i="10"/>
  <c r="G64" i="10"/>
  <c r="F70" i="10"/>
  <c r="G70" i="10"/>
  <c r="F76" i="10"/>
  <c r="G76" i="10"/>
  <c r="F16" i="10"/>
  <c r="G16" i="10"/>
  <c r="F22" i="10"/>
  <c r="G22" i="10"/>
  <c r="F28" i="10"/>
  <c r="G28" i="10"/>
  <c r="F34" i="10"/>
  <c r="G34" i="10"/>
  <c r="F40" i="10"/>
  <c r="G40" i="10"/>
  <c r="F46" i="10"/>
  <c r="G46" i="10"/>
  <c r="F52" i="10"/>
  <c r="G52" i="10"/>
  <c r="F58" i="10"/>
  <c r="G58" i="10"/>
  <c r="F10" i="10"/>
  <c r="O7" i="2"/>
  <c r="O8" i="2"/>
  <c r="L9" i="2"/>
  <c r="M9" i="2"/>
  <c r="O9" i="2"/>
  <c r="O10" i="2"/>
  <c r="O11" i="2"/>
  <c r="O12" i="2"/>
  <c r="O13" i="2"/>
  <c r="O14" i="2"/>
  <c r="O15" i="2"/>
  <c r="O16" i="2"/>
  <c r="O17" i="2"/>
  <c r="O18" i="2"/>
  <c r="D7" i="2"/>
  <c r="D8" i="2"/>
  <c r="E8" i="2"/>
  <c r="D9" i="2"/>
  <c r="E9" i="2"/>
  <c r="D10" i="2"/>
  <c r="E10" i="2"/>
  <c r="D11" i="2"/>
  <c r="E11" i="2"/>
  <c r="F11" i="2"/>
  <c r="D12" i="2"/>
  <c r="E12" i="2"/>
  <c r="D13" i="2"/>
  <c r="F13" i="2" s="1"/>
  <c r="E13" i="2"/>
  <c r="D14" i="2"/>
  <c r="E14" i="2"/>
  <c r="F14" i="2"/>
  <c r="D15" i="2"/>
  <c r="E15" i="2"/>
  <c r="F15" i="2"/>
  <c r="D16" i="2"/>
  <c r="E16" i="2"/>
  <c r="D17" i="2"/>
  <c r="E17" i="2"/>
  <c r="F17" i="2"/>
  <c r="D18" i="2"/>
  <c r="E18" i="2"/>
  <c r="D47" i="21"/>
  <c r="D46" i="21"/>
  <c r="K37" i="21"/>
  <c r="H37" i="21"/>
  <c r="F18" i="2" l="1"/>
  <c r="F12" i="2"/>
  <c r="N9" i="13"/>
  <c r="N15" i="13"/>
  <c r="H31" i="13"/>
  <c r="H35" i="13"/>
  <c r="H36" i="13" s="1"/>
  <c r="H37" i="13" s="1"/>
  <c r="N12" i="13" s="1"/>
  <c r="H32" i="13"/>
  <c r="H33" i="13" s="1"/>
  <c r="H50" i="13"/>
  <c r="H51" i="13" s="1"/>
  <c r="H52" i="13" s="1"/>
  <c r="H41" i="13"/>
  <c r="H42" i="13" s="1"/>
  <c r="H43" i="13" s="1"/>
  <c r="N14" i="13" s="1"/>
  <c r="I15" i="1"/>
  <c r="L14" i="2" s="1"/>
  <c r="H23" i="13"/>
  <c r="H24" i="13" s="1"/>
  <c r="H25" i="13" s="1"/>
  <c r="N8" i="13" s="1"/>
  <c r="H38" i="13"/>
  <c r="H39" i="13" s="1"/>
  <c r="H44" i="13"/>
  <c r="H45" i="13" s="1"/>
  <c r="G30" i="13"/>
  <c r="H49" i="13"/>
  <c r="G48" i="13"/>
  <c r="I19" i="1"/>
  <c r="L18" i="2" s="1"/>
  <c r="I11" i="1"/>
  <c r="L10" i="2" s="1"/>
  <c r="I13" i="1"/>
  <c r="L12" i="2" s="1"/>
  <c r="I17" i="1"/>
  <c r="L16" i="2" s="1"/>
  <c r="I16" i="1"/>
  <c r="L15" i="2" s="1"/>
  <c r="I10" i="1"/>
  <c r="I12" i="1"/>
  <c r="L11" i="2" s="1"/>
  <c r="I14" i="1"/>
  <c r="L13" i="2" s="1"/>
  <c r="I18" i="1"/>
  <c r="L17" i="2" s="1"/>
  <c r="F10" i="2"/>
  <c r="F8" i="2"/>
  <c r="F16" i="2"/>
  <c r="F9" i="2"/>
  <c r="E20" i="12"/>
  <c r="F20" i="12" s="1"/>
  <c r="N10" i="13" l="1"/>
  <c r="N13" i="13"/>
  <c r="N11" i="13"/>
  <c r="E19" i="12"/>
  <c r="F19" i="12" s="1"/>
  <c r="I19" i="12" s="1"/>
  <c r="E18" i="12"/>
  <c r="F18" i="12" s="1"/>
  <c r="I18" i="12" s="1"/>
  <c r="J18" i="12" l="1"/>
  <c r="K18" i="12"/>
  <c r="J19" i="12"/>
  <c r="K19" i="12"/>
  <c r="M19" i="19"/>
  <c r="E17" i="12" l="1"/>
  <c r="F17" i="12" s="1"/>
  <c r="I17" i="12" s="1"/>
  <c r="J17" i="12" l="1"/>
  <c r="K17" i="12"/>
  <c r="H16" i="11"/>
  <c r="N16" i="10" l="1"/>
  <c r="G15" i="2" l="1"/>
  <c r="H15" i="2" s="1"/>
  <c r="K15" i="2" s="1"/>
  <c r="G12" i="2"/>
  <c r="H12" i="2" s="1"/>
  <c r="K12" i="2" s="1"/>
  <c r="G13" i="2"/>
  <c r="H13" i="2" s="1"/>
  <c r="K13" i="2" s="1"/>
  <c r="G10" i="2"/>
  <c r="H10" i="2" s="1"/>
  <c r="K10" i="2" s="1"/>
  <c r="G7" i="2"/>
  <c r="H7" i="2" s="1"/>
  <c r="K7" i="2" s="1"/>
  <c r="H11" i="20" s="1"/>
  <c r="I11" i="20" s="1"/>
  <c r="G8" i="2"/>
  <c r="H8" i="2" s="1"/>
  <c r="K8" i="2" s="1"/>
  <c r="G9" i="2"/>
  <c r="H9" i="2" s="1"/>
  <c r="K9" i="2" s="1"/>
  <c r="N9" i="2" s="1"/>
  <c r="P9" i="2" s="1"/>
  <c r="G17" i="2"/>
  <c r="H17" i="2" s="1"/>
  <c r="K17" i="2" s="1"/>
  <c r="G14" i="2"/>
  <c r="H14" i="2" s="1"/>
  <c r="K14" i="2" s="1"/>
  <c r="G18" i="2"/>
  <c r="H18" i="2" s="1"/>
  <c r="K18" i="2" s="1"/>
  <c r="G11" i="2"/>
  <c r="H11" i="2" s="1"/>
  <c r="K11" i="2" s="1"/>
  <c r="G16" i="2"/>
  <c r="H16" i="2" s="1"/>
  <c r="K16" i="2" s="1"/>
  <c r="N15" i="10"/>
  <c r="G30" i="21" l="1"/>
  <c r="D39" i="21"/>
  <c r="N14" i="10" l="1"/>
  <c r="B13" i="19" l="1"/>
  <c r="B14" i="19"/>
  <c r="B19" i="19"/>
  <c r="B20" i="19"/>
  <c r="B21" i="19"/>
  <c r="B22" i="19"/>
  <c r="S16" i="19" l="1"/>
  <c r="S18" i="19"/>
  <c r="R18" i="19"/>
  <c r="R16" i="19"/>
  <c r="S15" i="19"/>
  <c r="R15" i="19"/>
  <c r="S17" i="19"/>
  <c r="R17" i="19"/>
  <c r="X6" i="4"/>
  <c r="U7" i="4" s="1"/>
  <c r="K10" i="4"/>
  <c r="T15" i="19" l="1"/>
  <c r="T17" i="19"/>
  <c r="T16" i="19"/>
  <c r="T18" i="19"/>
  <c r="K11" i="4"/>
  <c r="M8" i="1" l="1"/>
  <c r="C8" i="24" l="1"/>
  <c r="U8" i="4"/>
  <c r="M10" i="1" s="1"/>
  <c r="M9" i="1"/>
  <c r="O9" i="1" s="1"/>
  <c r="Q9" i="1" s="1"/>
  <c r="S9" i="1" s="1"/>
  <c r="M8" i="2" s="1"/>
  <c r="U9" i="4" l="1"/>
  <c r="O10" i="1"/>
  <c r="Q10" i="1" s="1"/>
  <c r="S10" i="1" s="1"/>
  <c r="H21" i="21"/>
  <c r="H20" i="21"/>
  <c r="G20" i="21"/>
  <c r="M11" i="1" l="1"/>
  <c r="O11" i="1" s="1"/>
  <c r="Q11" i="1" s="1"/>
  <c r="S11" i="1" s="1"/>
  <c r="M10" i="2" s="1"/>
  <c r="N10" i="2" s="1"/>
  <c r="P10" i="2" s="1"/>
  <c r="N13" i="10"/>
  <c r="X14" i="4" l="1"/>
  <c r="X15" i="4"/>
  <c r="G20" i="13" l="1"/>
  <c r="D25" i="3"/>
  <c r="I26" i="11" l="1"/>
  <c r="J26" i="11" l="1"/>
  <c r="K26" i="11"/>
  <c r="H10" i="21"/>
  <c r="L26" i="11" l="1"/>
  <c r="M26" i="11" s="1"/>
  <c r="M45" i="21"/>
  <c r="M44" i="21"/>
  <c r="M43" i="21"/>
  <c r="M42" i="21"/>
  <c r="M41" i="21"/>
  <c r="M40" i="21"/>
  <c r="M39" i="21"/>
  <c r="M38" i="21"/>
  <c r="M37" i="21"/>
  <c r="M36" i="21"/>
  <c r="M35" i="21"/>
  <c r="M34" i="21"/>
  <c r="M33" i="21"/>
  <c r="M32" i="21"/>
  <c r="M31" i="21"/>
  <c r="M30" i="21"/>
  <c r="M29" i="21"/>
  <c r="M28" i="21"/>
  <c r="M27" i="21"/>
  <c r="M26" i="21"/>
  <c r="M25" i="21"/>
  <c r="M24" i="21"/>
  <c r="M23" i="21"/>
  <c r="M22" i="21"/>
  <c r="M21" i="21"/>
  <c r="M20" i="21"/>
  <c r="M19" i="21"/>
  <c r="M18" i="21"/>
  <c r="M17" i="21"/>
  <c r="M16" i="21"/>
  <c r="M15" i="21"/>
  <c r="M14" i="21"/>
  <c r="M13" i="21"/>
  <c r="M12" i="21"/>
  <c r="N9" i="21"/>
  <c r="M9" i="21"/>
  <c r="D9" i="21"/>
  <c r="D10" i="21" s="1"/>
  <c r="D11" i="21" s="1"/>
  <c r="D12" i="21" s="1"/>
  <c r="D13" i="21" s="1"/>
  <c r="D14" i="21" s="1"/>
  <c r="D15" i="21" s="1"/>
  <c r="D16" i="21" s="1"/>
  <c r="D17" i="21" s="1"/>
  <c r="D19" i="21" s="1"/>
  <c r="D20" i="21" s="1"/>
  <c r="D21" i="21" s="1"/>
  <c r="D22" i="21" s="1"/>
  <c r="D23" i="21" s="1"/>
  <c r="D24" i="21" s="1"/>
  <c r="D25" i="21" s="1"/>
  <c r="D26" i="21" s="1"/>
  <c r="D27" i="21" s="1"/>
  <c r="D28" i="21" s="1"/>
  <c r="D29" i="21" s="1"/>
  <c r="D30" i="21" s="1"/>
  <c r="D31" i="21" s="1"/>
  <c r="D32" i="21" s="1"/>
  <c r="D33" i="21" s="1"/>
  <c r="D34" i="21" s="1"/>
  <c r="D35" i="21" s="1"/>
  <c r="D36" i="21" s="1"/>
  <c r="D37" i="21" s="1"/>
  <c r="D38" i="21" s="1"/>
  <c r="D40" i="21" s="1"/>
  <c r="D41" i="21" s="1"/>
  <c r="D42" i="21" s="1"/>
  <c r="D43" i="21" s="1"/>
  <c r="D44" i="21" s="1"/>
  <c r="D45" i="21" s="1"/>
  <c r="D48" i="21" s="1"/>
  <c r="D49" i="21" s="1"/>
  <c r="D50" i="21" s="1"/>
  <c r="D51" i="21" s="1"/>
  <c r="D52" i="21" s="1"/>
  <c r="D53" i="21" s="1"/>
  <c r="D54" i="21" s="1"/>
  <c r="D55" i="21" s="1"/>
  <c r="H9" i="21" l="1"/>
  <c r="J9" i="21" l="1"/>
  <c r="K9" i="21"/>
  <c r="L9" i="21" s="1"/>
  <c r="I9" i="21" s="1"/>
  <c r="G10" i="21" l="1"/>
  <c r="K17" i="21" l="1"/>
  <c r="K16" i="21"/>
  <c r="K15" i="21"/>
  <c r="K14" i="21"/>
  <c r="K13" i="21"/>
  <c r="K12" i="21"/>
  <c r="K11" i="21"/>
  <c r="K10" i="21"/>
  <c r="L10" i="21" s="1"/>
  <c r="G11" i="21" s="1"/>
  <c r="H11" i="21" s="1"/>
  <c r="K45" i="21"/>
  <c r="K44" i="21"/>
  <c r="K43" i="21"/>
  <c r="K42" i="21"/>
  <c r="K41" i="21"/>
  <c r="K36" i="21"/>
  <c r="K32" i="21"/>
  <c r="K28" i="21"/>
  <c r="K40" i="21"/>
  <c r="K35" i="21"/>
  <c r="K33" i="21"/>
  <c r="K31" i="21"/>
  <c r="K29" i="21"/>
  <c r="K27" i="21"/>
  <c r="K25" i="21"/>
  <c r="K23" i="21"/>
  <c r="K21" i="21"/>
  <c r="K19" i="21"/>
  <c r="K39" i="21"/>
  <c r="K38" i="21"/>
  <c r="K34" i="21"/>
  <c r="K30" i="21"/>
  <c r="K20" i="21"/>
  <c r="K26" i="21"/>
  <c r="K24" i="21"/>
  <c r="K22" i="21"/>
  <c r="K18" i="21"/>
  <c r="J11" i="21" l="1"/>
  <c r="L11" i="21" s="1"/>
  <c r="E15" i="12" l="1"/>
  <c r="I16" i="11"/>
  <c r="J16" i="11" l="1"/>
  <c r="K16" i="11"/>
  <c r="F15" i="12"/>
  <c r="L16" i="11" l="1"/>
  <c r="M16" i="11" s="1"/>
  <c r="H14" i="12" l="1"/>
  <c r="H12" i="12"/>
  <c r="N10" i="10"/>
  <c r="D21" i="13" l="1"/>
  <c r="E21" i="13"/>
  <c r="D10" i="3" l="1"/>
  <c r="L8" i="10"/>
  <c r="L20" i="4"/>
  <c r="M22" i="19" l="1"/>
  <c r="M20" i="19"/>
  <c r="M12" i="19"/>
  <c r="M8" i="19"/>
  <c r="N20" i="19" l="1"/>
  <c r="O20" i="19" s="1"/>
  <c r="N19" i="19"/>
  <c r="O19" i="19" s="1"/>
  <c r="N22" i="19"/>
  <c r="O22" i="19" s="1"/>
  <c r="N12" i="19"/>
  <c r="O12" i="19" s="1"/>
  <c r="N8" i="19"/>
  <c r="O8" i="19" s="1"/>
  <c r="R20" i="19"/>
  <c r="S12" i="19"/>
  <c r="R13" i="19"/>
  <c r="S20" i="19"/>
  <c r="R21" i="19"/>
  <c r="R10" i="19"/>
  <c r="S13" i="19"/>
  <c r="S21" i="19"/>
  <c r="S8" i="19"/>
  <c r="R7" i="19"/>
  <c r="S10" i="19"/>
  <c r="R11" i="19"/>
  <c r="S7" i="19"/>
  <c r="R8" i="19"/>
  <c r="S11" i="19"/>
  <c r="R12" i="19"/>
  <c r="R9" i="19" l="1"/>
  <c r="T20" i="19"/>
  <c r="T12" i="19"/>
  <c r="T13" i="19"/>
  <c r="T7" i="19"/>
  <c r="T8" i="19"/>
  <c r="T21" i="19"/>
  <c r="T11" i="19"/>
  <c r="T10" i="19"/>
  <c r="S9" i="19" l="1"/>
  <c r="T9" i="19" s="1"/>
  <c r="I20" i="11" l="1"/>
  <c r="I22" i="11"/>
  <c r="J20" i="11" l="1"/>
  <c r="K20" i="11"/>
  <c r="J22" i="11"/>
  <c r="K22" i="11"/>
  <c r="L20" i="11" l="1"/>
  <c r="M20" i="11" s="1"/>
  <c r="L22" i="11"/>
  <c r="N9" i="10"/>
  <c r="N8" i="10"/>
  <c r="M22" i="11" l="1"/>
  <c r="H20" i="12" s="1"/>
  <c r="I20" i="12" s="1"/>
  <c r="N22" i="11"/>
  <c r="O22" i="11" s="1"/>
  <c r="N20" i="11"/>
  <c r="O20" i="11" s="1"/>
  <c r="H16" i="12"/>
  <c r="F45" i="18"/>
  <c r="F46" i="18" s="1"/>
  <c r="F47" i="18" s="1"/>
  <c r="F48" i="18" s="1"/>
  <c r="F49" i="18" s="1"/>
  <c r="F50" i="18" s="1"/>
  <c r="F51" i="18" s="1"/>
  <c r="F52" i="18" s="1"/>
  <c r="F53" i="18" s="1"/>
  <c r="F54" i="18" s="1"/>
  <c r="F55" i="18" s="1"/>
  <c r="F56" i="18" s="1"/>
  <c r="F33" i="18"/>
  <c r="F34" i="18" s="1"/>
  <c r="F35" i="18" s="1"/>
  <c r="F36" i="18" s="1"/>
  <c r="F37" i="18" s="1"/>
  <c r="F38" i="18" s="1"/>
  <c r="F39" i="18" s="1"/>
  <c r="F40" i="18" s="1"/>
  <c r="F41" i="18" s="1"/>
  <c r="F42" i="18" s="1"/>
  <c r="K20" i="12" l="1"/>
  <c r="J20" i="12"/>
  <c r="Y9" i="4"/>
  <c r="N12" i="10" l="1"/>
  <c r="F21" i="13" l="1"/>
  <c r="L7" i="10" l="1"/>
  <c r="H20" i="13" l="1"/>
  <c r="G21" i="13"/>
  <c r="H21" i="13" l="1"/>
  <c r="D20" i="3" l="1"/>
  <c r="D21" i="3" s="1"/>
  <c r="D15" i="3"/>
  <c r="D16" i="3" s="1"/>
  <c r="E10" i="12" l="1"/>
  <c r="E11" i="12"/>
  <c r="E12" i="12"/>
  <c r="E13" i="12"/>
  <c r="E14" i="12"/>
  <c r="E16" i="12"/>
  <c r="N7" i="10"/>
  <c r="F13" i="12" l="1"/>
  <c r="I13" i="12" s="1"/>
  <c r="K13" i="12" s="1"/>
  <c r="F14" i="12"/>
  <c r="I14" i="12" s="1"/>
  <c r="F10" i="12"/>
  <c r="F12" i="12"/>
  <c r="I12" i="12" s="1"/>
  <c r="K12" i="12" s="1"/>
  <c r="F16" i="12"/>
  <c r="I16" i="12" s="1"/>
  <c r="F11" i="12"/>
  <c r="K9" i="12"/>
  <c r="K16" i="12" l="1"/>
  <c r="J16" i="12"/>
  <c r="J14" i="12"/>
  <c r="K14" i="12"/>
  <c r="N11" i="10"/>
  <c r="N26" i="11" l="1"/>
  <c r="O26" i="11" s="1"/>
  <c r="K19" i="16" l="1"/>
  <c r="K18" i="16" l="1"/>
  <c r="K16" i="16" l="1"/>
  <c r="K17" i="16"/>
  <c r="K15" i="16" l="1"/>
  <c r="K14" i="16" l="1"/>
  <c r="F21" i="18" l="1"/>
  <c r="F22" i="18" s="1"/>
  <c r="F23" i="18" s="1"/>
  <c r="F24" i="18" s="1"/>
  <c r="F25" i="18" s="1"/>
  <c r="F26" i="18" s="1"/>
  <c r="F27" i="18" s="1"/>
  <c r="F28" i="18" s="1"/>
  <c r="F29" i="18" s="1"/>
  <c r="F30" i="18" s="1"/>
  <c r="F31" i="18" s="1"/>
  <c r="F32" i="18" s="1"/>
  <c r="F9" i="18"/>
  <c r="F10" i="18" s="1"/>
  <c r="F11" i="18" s="1"/>
  <c r="F12" i="18" s="1"/>
  <c r="F13" i="18" s="1"/>
  <c r="F14" i="18" s="1"/>
  <c r="F15" i="18" s="1"/>
  <c r="F16" i="18" s="1"/>
  <c r="F17" i="18" s="1"/>
  <c r="F18" i="18" s="1"/>
  <c r="F19" i="18" s="1"/>
  <c r="F20" i="18" s="1"/>
  <c r="H23" i="15" l="1"/>
  <c r="G23" i="15"/>
  <c r="H13" i="16"/>
  <c r="H20" i="15"/>
  <c r="G20" i="15"/>
  <c r="K13" i="16"/>
  <c r="G13" i="16" l="1"/>
  <c r="H12" i="16" l="1"/>
  <c r="G12" i="16"/>
  <c r="K12" i="16" l="1"/>
  <c r="H41" i="15"/>
  <c r="G41" i="15"/>
  <c r="H19" i="16"/>
  <c r="G19" i="16"/>
  <c r="H38" i="15"/>
  <c r="G38" i="15"/>
  <c r="H35" i="15"/>
  <c r="G35" i="15"/>
  <c r="H32" i="15"/>
  <c r="G32" i="15"/>
  <c r="H29" i="15"/>
  <c r="G29" i="15"/>
  <c r="H26" i="15"/>
  <c r="G26" i="15"/>
  <c r="H14" i="16"/>
  <c r="H17" i="15"/>
  <c r="G17" i="15"/>
  <c r="H14" i="15"/>
  <c r="G14" i="15"/>
  <c r="G10" i="16"/>
  <c r="H11" i="15"/>
  <c r="G11" i="15"/>
  <c r="F11" i="15"/>
  <c r="E11" i="15"/>
  <c r="D11" i="15"/>
  <c r="H8" i="15"/>
  <c r="G8" i="15"/>
  <c r="F59" i="18"/>
  <c r="F60" i="18" s="1"/>
  <c r="F61" i="18" s="1"/>
  <c r="F62" i="18" s="1"/>
  <c r="D12" i="3"/>
  <c r="D13" i="3" s="1"/>
  <c r="D8" i="3"/>
  <c r="F63" i="18" l="1"/>
  <c r="F64" i="18" s="1"/>
  <c r="F65" i="18" s="1"/>
  <c r="F66" i="18" s="1"/>
  <c r="F67" i="18" s="1"/>
  <c r="F68" i="18" s="1"/>
  <c r="G15" i="16"/>
  <c r="G14" i="16"/>
  <c r="G8" i="16"/>
  <c r="H8" i="16"/>
  <c r="G18" i="16"/>
  <c r="H18" i="16"/>
  <c r="H17" i="16"/>
  <c r="G17" i="16"/>
  <c r="G16" i="16"/>
  <c r="H15" i="16"/>
  <c r="H11" i="16"/>
  <c r="G11" i="16"/>
  <c r="H16" i="16"/>
  <c r="H10" i="16"/>
  <c r="H9" i="16"/>
  <c r="G9" i="16"/>
  <c r="E20" i="8" l="1"/>
  <c r="E21" i="8" s="1"/>
  <c r="E22" i="8" s="1"/>
  <c r="E23" i="8" s="1"/>
  <c r="E24" i="8" s="1"/>
  <c r="E25" i="8" s="1"/>
  <c r="E26" i="8" s="1"/>
  <c r="E27" i="8" s="1"/>
  <c r="E28" i="8" s="1"/>
  <c r="E29" i="8" s="1"/>
  <c r="E30" i="8" s="1"/>
  <c r="E31" i="8" s="1"/>
  <c r="E8" i="8"/>
  <c r="E9" i="8" s="1"/>
  <c r="E10" i="8" s="1"/>
  <c r="E11" i="8" s="1"/>
  <c r="E12" i="8" s="1"/>
  <c r="E13" i="8" s="1"/>
  <c r="E14" i="8" s="1"/>
  <c r="E15" i="8" s="1"/>
  <c r="E16" i="8" s="1"/>
  <c r="E17" i="8" s="1"/>
  <c r="E18" i="8" s="1"/>
  <c r="E19" i="8" s="1"/>
  <c r="K11" i="16" l="1"/>
  <c r="J13" i="12" l="1"/>
  <c r="K10" i="16" l="1"/>
  <c r="J12" i="12" l="1"/>
  <c r="I8" i="12" l="1"/>
  <c r="K8" i="12" s="1"/>
  <c r="N8" i="1" s="1"/>
  <c r="O8" i="1" s="1"/>
  <c r="J8" i="12" l="1"/>
  <c r="E6" i="16" l="1"/>
  <c r="X12" i="4"/>
  <c r="L34" i="4" l="1"/>
  <c r="X13" i="4" l="1"/>
  <c r="U10" i="4"/>
  <c r="J9" i="12"/>
  <c r="M12" i="1" l="1"/>
  <c r="U11" i="4"/>
  <c r="F7" i="16"/>
  <c r="E7" i="16"/>
  <c r="C7" i="16"/>
  <c r="M13" i="1" l="1"/>
  <c r="O13" i="1" s="1"/>
  <c r="Q13" i="1" s="1"/>
  <c r="S13" i="1" s="1"/>
  <c r="M12" i="2" s="1"/>
  <c r="N12" i="2" s="1"/>
  <c r="P12" i="2" s="1"/>
  <c r="U12" i="4"/>
  <c r="D7" i="16"/>
  <c r="M14" i="1" l="1"/>
  <c r="U13" i="4"/>
  <c r="M15" i="1" s="1"/>
  <c r="L64" i="4"/>
  <c r="L67" i="4"/>
  <c r="L70" i="4" s="1"/>
  <c r="L73" i="4" s="1"/>
  <c r="L76" i="4" s="1"/>
  <c r="L79" i="4" s="1"/>
  <c r="L82" i="4" s="1"/>
  <c r="L85" i="4" s="1"/>
  <c r="L88" i="4" s="1"/>
  <c r="O15" i="1" l="1"/>
  <c r="Q15" i="1" s="1"/>
  <c r="S15" i="1" s="1"/>
  <c r="M14" i="2" s="1"/>
  <c r="N14" i="2" s="1"/>
  <c r="P14" i="2" s="1"/>
  <c r="U14" i="4"/>
  <c r="M16" i="1" s="1"/>
  <c r="K9" i="16"/>
  <c r="K8" i="16"/>
  <c r="U15" i="4" l="1"/>
  <c r="M17" i="1" s="1"/>
  <c r="E32" i="8"/>
  <c r="O17" i="1" l="1"/>
  <c r="Q17" i="1" s="1"/>
  <c r="S17" i="1" s="1"/>
  <c r="M16" i="2" s="1"/>
  <c r="N16" i="2" s="1"/>
  <c r="P16" i="2" s="1"/>
  <c r="U16" i="4"/>
  <c r="M18" i="1" s="1"/>
  <c r="F43" i="18"/>
  <c r="F44" i="18" s="1"/>
  <c r="E33" i="8"/>
  <c r="E34" i="8" s="1"/>
  <c r="E35" i="8" s="1"/>
  <c r="E36" i="8" s="1"/>
  <c r="E37" i="8" s="1"/>
  <c r="E38" i="8" s="1"/>
  <c r="E39" i="8" s="1"/>
  <c r="E40" i="8" s="1"/>
  <c r="E41" i="8" s="1"/>
  <c r="E42" i="8" s="1"/>
  <c r="E43" i="8" s="1"/>
  <c r="U17" i="4" l="1"/>
  <c r="F8" i="16"/>
  <c r="F9" i="16" s="1"/>
  <c r="F10" i="16" s="1"/>
  <c r="F11" i="16" s="1"/>
  <c r="F12" i="16" s="1"/>
  <c r="F13" i="16" s="1"/>
  <c r="F14" i="16" s="1"/>
  <c r="F15" i="16" s="1"/>
  <c r="F16" i="16" s="1"/>
  <c r="F17" i="16" s="1"/>
  <c r="F18" i="16" s="1"/>
  <c r="F19" i="16" s="1"/>
  <c r="D8" i="16"/>
  <c r="D9" i="16" s="1"/>
  <c r="D10" i="16" s="1"/>
  <c r="D11" i="16" s="1"/>
  <c r="D12" i="16" s="1"/>
  <c r="D13" i="16" s="1"/>
  <c r="D14" i="16" s="1"/>
  <c r="D15" i="16" s="1"/>
  <c r="D16" i="16" s="1"/>
  <c r="D17" i="16" s="1"/>
  <c r="D18" i="16" s="1"/>
  <c r="D19" i="16" s="1"/>
  <c r="M19" i="1" l="1"/>
  <c r="O19" i="1" s="1"/>
  <c r="Q19" i="1" s="1"/>
  <c r="S19" i="1" s="1"/>
  <c r="M18" i="2" s="1"/>
  <c r="N18" i="2" s="1"/>
  <c r="P18" i="2" s="1"/>
  <c r="X11" i="4"/>
  <c r="N16" i="11" l="1"/>
  <c r="I10" i="11"/>
  <c r="I12" i="11"/>
  <c r="I14" i="11"/>
  <c r="I18" i="11"/>
  <c r="I24" i="11"/>
  <c r="I28" i="11"/>
  <c r="J12" i="11" l="1"/>
  <c r="K12" i="11" s="1"/>
  <c r="J14" i="11"/>
  <c r="K14" i="11" s="1"/>
  <c r="J18" i="11"/>
  <c r="K18" i="11" s="1"/>
  <c r="J24" i="11"/>
  <c r="K24" i="11"/>
  <c r="J28" i="11"/>
  <c r="K28" i="11"/>
  <c r="J10" i="11"/>
  <c r="K10" i="11" s="1"/>
  <c r="M10" i="11" s="1"/>
  <c r="N10" i="11" s="1"/>
  <c r="N6" i="13"/>
  <c r="L54" i="4"/>
  <c r="O16" i="11"/>
  <c r="N18" i="1" s="1"/>
  <c r="O18" i="1" s="1"/>
  <c r="Q18" i="1" s="1"/>
  <c r="S18" i="1" s="1"/>
  <c r="M17" i="2" s="1"/>
  <c r="N17" i="2" s="1"/>
  <c r="P17" i="2" s="1"/>
  <c r="L12" i="11" l="1"/>
  <c r="M12" i="11" s="1"/>
  <c r="L14" i="11"/>
  <c r="M14" i="11" s="1"/>
  <c r="M18" i="11"/>
  <c r="H15" i="12" s="1"/>
  <c r="I15" i="12" s="1"/>
  <c r="L18" i="11"/>
  <c r="L24" i="11"/>
  <c r="M24" i="11" s="1"/>
  <c r="N24" i="11" s="1"/>
  <c r="O24" i="11" s="1"/>
  <c r="L28" i="11"/>
  <c r="M28" i="11" s="1"/>
  <c r="O10" i="11"/>
  <c r="N12" i="1" s="1"/>
  <c r="O12" i="1" s="1"/>
  <c r="Q12" i="1" s="1"/>
  <c r="S12" i="1" s="1"/>
  <c r="M11" i="2" s="1"/>
  <c r="N11" i="2" s="1"/>
  <c r="P11" i="2" s="1"/>
  <c r="J15" i="12" l="1"/>
  <c r="K15" i="12"/>
  <c r="N18" i="11"/>
  <c r="O18" i="11" s="1"/>
  <c r="N28" i="11"/>
  <c r="O28" i="11" s="1"/>
  <c r="N12" i="11"/>
  <c r="O12" i="11" s="1"/>
  <c r="N14" i="1" s="1"/>
  <c r="O14" i="1" s="1"/>
  <c r="Q14" i="1" s="1"/>
  <c r="S14" i="1" s="1"/>
  <c r="M13" i="2" s="1"/>
  <c r="N13" i="2" s="1"/>
  <c r="P13" i="2" s="1"/>
  <c r="H10" i="12"/>
  <c r="I10" i="12" s="1"/>
  <c r="N14" i="11"/>
  <c r="O14" i="11" s="1"/>
  <c r="N16" i="1" s="1"/>
  <c r="O16" i="1" s="1"/>
  <c r="Q16" i="1" s="1"/>
  <c r="S16" i="1" s="1"/>
  <c r="M15" i="2" s="1"/>
  <c r="N15" i="2" s="1"/>
  <c r="P15" i="2" s="1"/>
  <c r="H11" i="12"/>
  <c r="I11" i="12" s="1"/>
  <c r="X9" i="4"/>
  <c r="K11" i="12" l="1"/>
  <c r="J11" i="12"/>
  <c r="K10" i="12"/>
  <c r="J10" i="12"/>
  <c r="Q8" i="1"/>
  <c r="S8" i="1" s="1"/>
  <c r="M7" i="2" s="1"/>
  <c r="H12" i="20" s="1"/>
  <c r="I12" i="20" s="1"/>
  <c r="G13" i="19" s="1"/>
  <c r="I13" i="19" s="1"/>
  <c r="J13" i="19" s="1"/>
  <c r="E8" i="24"/>
  <c r="G8" i="24" s="1"/>
  <c r="I8" i="24" s="1"/>
  <c r="D8" i="24"/>
  <c r="E8" i="1"/>
  <c r="G8" i="1" s="1"/>
  <c r="D20" i="24"/>
  <c r="E20" i="24" s="1"/>
  <c r="G20" i="24" s="1"/>
  <c r="I20" i="24" s="1"/>
  <c r="X8" i="4"/>
  <c r="E8" i="16"/>
  <c r="E9" i="16" s="1"/>
  <c r="E10" i="16" s="1"/>
  <c r="E11" i="16" s="1"/>
  <c r="E12" i="16" s="1"/>
  <c r="E13" i="16" s="1"/>
  <c r="E14" i="16" s="1"/>
  <c r="E15" i="16" s="1"/>
  <c r="E16" i="16" s="1"/>
  <c r="C8" i="16"/>
  <c r="C9" i="16" s="1"/>
  <c r="C10" i="16" s="1"/>
  <c r="I8" i="1" l="1"/>
  <c r="L7" i="2" s="1"/>
  <c r="X7" i="4"/>
  <c r="E17" i="16"/>
  <c r="C11" i="16"/>
  <c r="L10" i="16"/>
  <c r="L9" i="16"/>
  <c r="N7" i="2" l="1"/>
  <c r="P7" i="2" s="1"/>
  <c r="H13" i="20"/>
  <c r="I13" i="20" s="1"/>
  <c r="G14" i="19" s="1"/>
  <c r="M7" i="19"/>
  <c r="X10" i="4"/>
  <c r="E18" i="16"/>
  <c r="E19" i="16" s="1"/>
  <c r="L11" i="16"/>
  <c r="C12" i="16"/>
  <c r="I14" i="19" l="1"/>
  <c r="L12" i="16"/>
  <c r="C13" i="16"/>
  <c r="N7" i="19" l="1"/>
  <c r="O7" i="19" s="1"/>
  <c r="J14" i="19"/>
  <c r="L13" i="16"/>
  <c r="C14" i="16"/>
  <c r="M10" i="19" l="1"/>
  <c r="N11" i="19"/>
  <c r="M11" i="19"/>
  <c r="M9" i="19"/>
  <c r="L14" i="16"/>
  <c r="C15" i="16"/>
  <c r="L8" i="16"/>
  <c r="O11" i="19" l="1"/>
  <c r="N9" i="19"/>
  <c r="O9" i="19" s="1"/>
  <c r="L15" i="16"/>
  <c r="C16" i="16"/>
  <c r="C17" i="16" l="1"/>
  <c r="L16" i="16"/>
  <c r="C18" i="16" l="1"/>
  <c r="L17" i="16"/>
  <c r="L18" i="16" l="1"/>
  <c r="C19" i="16"/>
  <c r="L19" i="16" s="1"/>
  <c r="R19" i="19" l="1"/>
  <c r="M14" i="19"/>
  <c r="N14" i="19" l="1"/>
  <c r="O14" i="19" s="1"/>
  <c r="S19" i="19"/>
  <c r="T19" i="19" s="1"/>
  <c r="M13" i="19"/>
  <c r="R14" i="19"/>
  <c r="N11" i="21" l="1"/>
  <c r="M11" i="21" s="1"/>
  <c r="G12" i="21" s="1"/>
  <c r="H12" i="21" s="1"/>
  <c r="S14" i="19"/>
  <c r="N13" i="19"/>
  <c r="N10" i="21"/>
  <c r="M10" i="21" s="1"/>
  <c r="I8" i="11"/>
  <c r="J8" i="11" l="1"/>
  <c r="K8" i="11" s="1"/>
  <c r="R22" i="19"/>
  <c r="R23" i="19" s="1"/>
  <c r="M21" i="19"/>
  <c r="M23" i="19" s="1"/>
  <c r="T14" i="19"/>
  <c r="O13" i="19"/>
  <c r="J12" i="21"/>
  <c r="L12" i="21" s="1"/>
  <c r="I12" i="21" s="1"/>
  <c r="N8" i="11" l="1"/>
  <c r="O8" i="11" s="1"/>
  <c r="D9" i="1" s="1"/>
  <c r="E9" i="1" s="1"/>
  <c r="G9" i="1" s="1"/>
  <c r="I9" i="1" s="1"/>
  <c r="L8" i="2" s="1"/>
  <c r="N8" i="2" s="1"/>
  <c r="P8" i="2" s="1"/>
  <c r="N21" i="19"/>
  <c r="O21" i="19" s="1"/>
  <c r="G13" i="21"/>
  <c r="H13" i="21" s="1"/>
  <c r="J13" i="21" l="1"/>
  <c r="L13" i="21" s="1"/>
  <c r="I13" i="21" s="1"/>
  <c r="G14" i="21" l="1"/>
  <c r="H14" i="21" s="1"/>
  <c r="J14" i="21" s="1"/>
  <c r="L14" i="21" s="1"/>
  <c r="I14" i="21" l="1"/>
  <c r="G15" i="21" s="1"/>
  <c r="H15" i="21" s="1"/>
  <c r="J15" i="21" s="1"/>
  <c r="L15" i="21" s="1"/>
  <c r="I15" i="21" s="1"/>
  <c r="G16" i="21" l="1"/>
  <c r="H16" i="21" s="1"/>
  <c r="J16" i="21" l="1"/>
  <c r="L16" i="21" s="1"/>
  <c r="I16" i="21" s="1"/>
  <c r="G17" i="21" l="1"/>
  <c r="H17" i="21" s="1"/>
  <c r="J17" i="21" l="1"/>
  <c r="L17" i="21" s="1"/>
  <c r="I17" i="21" s="1"/>
  <c r="G18" i="21" l="1"/>
  <c r="H18" i="21" s="1"/>
  <c r="J18" i="21" l="1"/>
  <c r="L18" i="21" s="1"/>
  <c r="I18" i="21" s="1"/>
  <c r="G19" i="21" l="1"/>
  <c r="H19" i="21" s="1"/>
  <c r="J19" i="21" l="1"/>
  <c r="L19" i="21" s="1"/>
  <c r="I19" i="21" s="1"/>
  <c r="J20" i="21" l="1"/>
  <c r="L20" i="21" l="1"/>
  <c r="I20" i="21" s="1"/>
  <c r="G21" i="21" l="1"/>
  <c r="J21" i="21" l="1"/>
  <c r="L21" i="21" s="1"/>
  <c r="I21" i="21" l="1"/>
  <c r="G22" i="21"/>
  <c r="H22" i="21" s="1"/>
  <c r="J22" i="21" l="1"/>
  <c r="L22" i="21" s="1"/>
  <c r="I22" i="21" s="1"/>
  <c r="G23" i="21" l="1"/>
  <c r="H23" i="21" s="1"/>
  <c r="J23" i="21" l="1"/>
  <c r="L23" i="21" s="1"/>
  <c r="I23" i="21" s="1"/>
  <c r="G24" i="21" l="1"/>
  <c r="H24" i="21" s="1"/>
  <c r="J24" i="21" l="1"/>
  <c r="L24" i="21" s="1"/>
  <c r="I24" i="21" s="1"/>
  <c r="G25" i="21" l="1"/>
  <c r="H25" i="21" s="1"/>
  <c r="J25" i="21" l="1"/>
  <c r="L25" i="21" s="1"/>
  <c r="I25" i="21" s="1"/>
  <c r="G26" i="21" l="1"/>
  <c r="H26" i="21" s="1"/>
  <c r="J26" i="21" l="1"/>
  <c r="L26" i="21" s="1"/>
  <c r="I26" i="21" s="1"/>
  <c r="G27" i="21" l="1"/>
  <c r="H27" i="21" s="1"/>
  <c r="J27" i="21" l="1"/>
  <c r="L27" i="21" s="1"/>
  <c r="I27" i="21" s="1"/>
  <c r="G28" i="21" l="1"/>
  <c r="H28" i="21" s="1"/>
  <c r="J28" i="21" l="1"/>
  <c r="L28" i="21" s="1"/>
  <c r="I28" i="21" s="1"/>
  <c r="G29" i="21" l="1"/>
  <c r="H29" i="21" s="1"/>
  <c r="J29" i="21" l="1"/>
  <c r="L29" i="21" s="1"/>
  <c r="I29" i="21" s="1"/>
  <c r="H30" i="21" l="1"/>
  <c r="J30" i="21" l="1"/>
  <c r="L30" i="21" s="1"/>
  <c r="I30" i="21" s="1"/>
  <c r="G31" i="21" l="1"/>
  <c r="H31" i="21" s="1"/>
  <c r="J31" i="21" l="1"/>
  <c r="L31" i="21" s="1"/>
  <c r="I31" i="21" s="1"/>
  <c r="G32" i="21" l="1"/>
  <c r="H32" i="21" s="1"/>
  <c r="J32" i="21" l="1"/>
  <c r="L32" i="21" s="1"/>
  <c r="I32" i="21" s="1"/>
  <c r="G33" i="21" l="1"/>
  <c r="H33" i="21" s="1"/>
  <c r="J33" i="21" l="1"/>
  <c r="L33" i="21" s="1"/>
  <c r="I33" i="21" s="1"/>
  <c r="G34" i="21" l="1"/>
  <c r="H34" i="21" s="1"/>
  <c r="J34" i="21" l="1"/>
  <c r="L34" i="21" s="1"/>
  <c r="I34" i="21" s="1"/>
  <c r="G35" i="21" l="1"/>
  <c r="H35" i="21" s="1"/>
  <c r="J35" i="21" l="1"/>
  <c r="L35" i="21" s="1"/>
  <c r="I35" i="21" s="1"/>
  <c r="G36" i="21" s="1"/>
  <c r="H36" i="21" s="1"/>
  <c r="J36" i="21" l="1"/>
  <c r="L36" i="21" s="1"/>
  <c r="I36" i="21" s="1"/>
  <c r="G37" i="21" l="1"/>
  <c r="J37" i="21" l="1"/>
  <c r="L37" i="21" s="1"/>
  <c r="I37" i="21" s="1"/>
  <c r="G38" i="21" l="1"/>
  <c r="H38" i="21" s="1"/>
  <c r="L38" i="21" l="1"/>
  <c r="I38" i="21" s="1"/>
  <c r="G39" i="21" l="1"/>
  <c r="H39" i="21" s="1"/>
  <c r="J39" i="21" l="1"/>
  <c r="L39" i="21" s="1"/>
  <c r="I39" i="21" s="1"/>
  <c r="G40" i="21" l="1"/>
  <c r="H40" i="21" s="1"/>
  <c r="J40" i="21" l="1"/>
  <c r="L40" i="21" s="1"/>
  <c r="I40" i="21" s="1"/>
  <c r="G41" i="21" l="1"/>
  <c r="H41" i="21" s="1"/>
  <c r="J41" i="21" l="1"/>
  <c r="L41" i="21" s="1"/>
  <c r="I41" i="21" s="1"/>
  <c r="G42" i="21" l="1"/>
  <c r="H42" i="21" s="1"/>
  <c r="J42" i="21" l="1"/>
  <c r="L42" i="21" s="1"/>
  <c r="I42" i="21" s="1"/>
  <c r="G43" i="21" l="1"/>
  <c r="H43" i="21" s="1"/>
  <c r="J43" i="21" l="1"/>
  <c r="L43" i="21" s="1"/>
  <c r="I43" i="21" s="1"/>
  <c r="G44" i="21" l="1"/>
  <c r="H44" i="21" s="1"/>
  <c r="J44" i="21" l="1"/>
  <c r="L44" i="21" s="1"/>
  <c r="I44" i="21" s="1"/>
  <c r="G45" i="21" l="1"/>
  <c r="H45" i="21" s="1"/>
  <c r="J45" i="21" s="1"/>
  <c r="L45" i="21" s="1"/>
  <c r="I45" i="21" s="1"/>
  <c r="N10" i="19"/>
  <c r="O10" i="19" s="1"/>
  <c r="O23" i="19" s="1"/>
  <c r="S22" i="19"/>
  <c r="T22" i="19" s="1"/>
  <c r="T23" i="19" s="1"/>
  <c r="N23" i="19" l="1"/>
  <c r="S23" i="19"/>
  <c r="K7" i="13" l="1"/>
  <c r="K8" i="13" s="1"/>
  <c r="K9" i="13" s="1"/>
  <c r="K10" i="13" l="1"/>
  <c r="K11" i="13" s="1"/>
  <c r="K12" i="13" s="1"/>
  <c r="K13" i="13" s="1"/>
  <c r="K14" i="13" s="1"/>
  <c r="K15" i="13" s="1"/>
  <c r="K16" i="13" s="1"/>
  <c r="K17" i="13" s="1"/>
  <c r="E7" i="4" l="1"/>
  <c r="G7" i="4"/>
  <c r="H6" i="4" a="1"/>
  <c r="H6" i="4"/>
  <c r="F6" i="4" a="1"/>
  <c r="F6" i="4"/>
  <c r="H7" i="4"/>
  <c r="F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Kauane Araujo Silva</author>
  </authors>
  <commentList>
    <comment ref="H16" authorId="0" shapeId="0" xr:uid="{EA3F326F-9B56-400D-A521-07ECA747C2F9}">
      <text>
        <r>
          <rPr>
            <b/>
            <sz val="9"/>
            <color indexed="81"/>
            <rFont val="Segoe UI"/>
            <family val="2"/>
          </rPr>
          <t>CDE:</t>
        </r>
        <r>
          <rPr>
            <sz val="9"/>
            <color indexed="81"/>
            <rFont val="Segoe UI"/>
            <family val="2"/>
          </rPr>
          <t xml:space="preserve">
Valor não foi publicado até 11
11/07/2025.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Kauane Araujo Silva</author>
  </authors>
  <commentList>
    <comment ref="M9" authorId="0" shapeId="0" xr:uid="{F8318D98-B711-4C70-B46E-8B041A35C151}">
      <text>
        <r>
          <rPr>
            <b/>
            <sz val="9"/>
            <color indexed="81"/>
            <rFont val="Segoe UI"/>
            <family val="2"/>
          </rPr>
          <t xml:space="preserve">CCEE: Valor limite para desconto sobre o reembolso.
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<sst xmlns="http://schemas.openxmlformats.org/spreadsheetml/2006/main" count="627" uniqueCount="290">
  <si>
    <t>Calculado  ANP</t>
  </si>
  <si>
    <t>Utilizado para Reembolso (R$)</t>
  </si>
  <si>
    <t>Qtde SCE (kg)</t>
  </si>
  <si>
    <t>Preço Unitário Líquido</t>
  </si>
  <si>
    <t>ÓLEO COMBUSTÍVEL</t>
  </si>
  <si>
    <t>ÓLEO DIESEL</t>
  </si>
  <si>
    <t>% Eficiência Energética</t>
  </si>
  <si>
    <t>Subtotal (R$)</t>
  </si>
  <si>
    <t>Valor Unit (R$)</t>
  </si>
  <si>
    <t>Qtde comprada ajustada (t)</t>
  </si>
  <si>
    <t>Desconto de estoques anos anteriores (t) [2]</t>
  </si>
  <si>
    <t>Total (RS)</t>
  </si>
  <si>
    <t>Nº Rep</t>
  </si>
  <si>
    <t>TOTAL (R$)</t>
  </si>
  <si>
    <t>Total Carvão</t>
  </si>
  <si>
    <t>Total Óleo Diesel</t>
  </si>
  <si>
    <t>Limite Reembolso [3]</t>
  </si>
  <si>
    <t>Total Geral</t>
  </si>
  <si>
    <t xml:space="preserve">TOTAL REEMBOLSO CDE </t>
  </si>
  <si>
    <t>Referência</t>
  </si>
  <si>
    <t>Estoque Histórico (t)</t>
  </si>
  <si>
    <t>1/5 Estoque Histórico (t)</t>
  </si>
  <si>
    <t>1/12 de 1/5 Estoque Histórico (t)</t>
  </si>
  <si>
    <t xml:space="preserve">Ano </t>
  </si>
  <si>
    <t>1/12 Estoque ano anterior (t)</t>
  </si>
  <si>
    <t xml:space="preserve">Estoque estratégico </t>
  </si>
  <si>
    <t>1/12 Estoque estratégico</t>
  </si>
  <si>
    <t>Compra mínima</t>
  </si>
  <si>
    <t>Total de Reembolso (2013/14/15)</t>
  </si>
  <si>
    <t>2013/14/15 atualizados IPCA</t>
  </si>
  <si>
    <t>1/12 Total Reembolso</t>
  </si>
  <si>
    <t>Aplicação / Mês</t>
  </si>
  <si>
    <t>Motivo(s)</t>
  </si>
  <si>
    <t>Nº Reproc</t>
  </si>
  <si>
    <t>SAÍDA DE CAIXA</t>
  </si>
  <si>
    <t>Mês</t>
  </si>
  <si>
    <t>Semana 1</t>
  </si>
  <si>
    <t>Semana 2</t>
  </si>
  <si>
    <t>Semana 3</t>
  </si>
  <si>
    <t>Semana 4</t>
  </si>
  <si>
    <t>Semana 5</t>
  </si>
  <si>
    <t>Semana 6</t>
  </si>
  <si>
    <t>Média Ponderada Semana</t>
  </si>
  <si>
    <t>Preço  ANP Líq.</t>
  </si>
  <si>
    <t>Óleo Diesel</t>
  </si>
  <si>
    <t>Margem Distribuição</t>
  </si>
  <si>
    <t>Margem Média de Revenda</t>
  </si>
  <si>
    <t>Preço Médio Distribuição</t>
  </si>
  <si>
    <t>PREÇO ANP FINAL</t>
  </si>
  <si>
    <t>nº dias</t>
  </si>
  <si>
    <t>Combustível</t>
  </si>
  <si>
    <t>Data Pagamento ou Desconto</t>
  </si>
  <si>
    <t>Diferença</t>
  </si>
  <si>
    <t>Valor anterior</t>
  </si>
  <si>
    <t>Valor atual</t>
  </si>
  <si>
    <t>Diferença Atualizada</t>
  </si>
  <si>
    <t>COMPETÊNCIA</t>
  </si>
  <si>
    <t>Nº Reprocess (1)</t>
  </si>
  <si>
    <t>Consumo SCD</t>
  </si>
  <si>
    <t>Estoque inicial em 31/12/2017 =</t>
  </si>
  <si>
    <t>Média</t>
  </si>
  <si>
    <t>Valor sem ICMS</t>
  </si>
  <si>
    <t>Valor Líquido</t>
  </si>
  <si>
    <t>Valor PIS/COFINS</t>
  </si>
  <si>
    <t>Fornecedor</t>
  </si>
  <si>
    <t>Valor unitário</t>
  </si>
  <si>
    <t>N° NF</t>
  </si>
  <si>
    <t>Qtde (t)</t>
  </si>
  <si>
    <t>Valor total</t>
  </si>
  <si>
    <t>Total/Média</t>
  </si>
  <si>
    <t xml:space="preserve">Mês Referência: </t>
  </si>
  <si>
    <t>Valor ICMS</t>
  </si>
  <si>
    <t>Valor PIS COFINS</t>
  </si>
  <si>
    <t>Qtde (Kg)</t>
  </si>
  <si>
    <t>Total</t>
  </si>
  <si>
    <t>Data</t>
  </si>
  <si>
    <t>Cálculo do Estoque "Anterior" - A-1</t>
  </si>
  <si>
    <t>Alíquota ICMS =</t>
  </si>
  <si>
    <t xml:space="preserve">Valor PIS/COFINS </t>
  </si>
  <si>
    <t>Data/Consumo</t>
  </si>
  <si>
    <t>Mês Referência</t>
  </si>
  <si>
    <t>Preço Médio</t>
  </si>
  <si>
    <t>Alíquota ICMS</t>
  </si>
  <si>
    <t>Usina</t>
  </si>
  <si>
    <t>Carvão (t)</t>
  </si>
  <si>
    <t>Óleo Diesel (m³)</t>
  </si>
  <si>
    <t>Óleo Combustível (t)</t>
  </si>
  <si>
    <t>TOTAL</t>
  </si>
  <si>
    <t>Ano</t>
  </si>
  <si>
    <t>COMPRA MÍNIMA VIGENTE</t>
  </si>
  <si>
    <t>COMPRA MÍNIMA 2002</t>
  </si>
  <si>
    <t>COMPRA MÍNIMA VIGENTE ANUAL</t>
  </si>
  <si>
    <t>COMPRA MÍNIMA 2002 ANUAL</t>
  </si>
  <si>
    <t>Valor ICMS (12%)</t>
  </si>
  <si>
    <t>PMPF 1a. quinzena</t>
  </si>
  <si>
    <t>PMPF 2a. quinzena</t>
  </si>
  <si>
    <t>Preço Médio ANP</t>
  </si>
  <si>
    <t>Envio das NF</t>
  </si>
  <si>
    <t>ICMS</t>
  </si>
  <si>
    <t>Valor PIS COFINS [1]</t>
  </si>
  <si>
    <t>Emissão</t>
  </si>
  <si>
    <t>Janeiro</t>
  </si>
  <si>
    <t>Fevereiro</t>
  </si>
  <si>
    <t>Tributos</t>
  </si>
  <si>
    <t>Valor PIS COFINS OD</t>
  </si>
  <si>
    <t>Valor PIS COFINS OC</t>
  </si>
  <si>
    <t>Valor ICMS OD</t>
  </si>
  <si>
    <t>Valor ICMS OC</t>
  </si>
  <si>
    <t>Competência</t>
  </si>
  <si>
    <t>ICMS             Recuperado</t>
  </si>
  <si>
    <t>PIS/COFINS             Recuperado</t>
  </si>
  <si>
    <t>Consumo OD</t>
  </si>
  <si>
    <t>Consumo OC</t>
  </si>
  <si>
    <t>Valor Base</t>
  </si>
  <si>
    <t>Contrato</t>
  </si>
  <si>
    <t>Preço Ponderado</t>
  </si>
  <si>
    <t>Data Limite</t>
  </si>
  <si>
    <t xml:space="preserve">Atualização </t>
  </si>
  <si>
    <t>Atualização</t>
  </si>
  <si>
    <t>Índice(IPCA)</t>
  </si>
  <si>
    <t>Valor Válido p/ Competência</t>
  </si>
  <si>
    <t>Não Recebido</t>
  </si>
  <si>
    <t>N/A</t>
  </si>
  <si>
    <t>Apurado - Notas Fiscais Recebidas</t>
  </si>
  <si>
    <t>Mês de competência</t>
  </si>
  <si>
    <t>Valor</t>
  </si>
  <si>
    <t>Valor Total</t>
  </si>
  <si>
    <t>Valor pago/descontado</t>
  </si>
  <si>
    <t>Mês/Ano Caixa</t>
  </si>
  <si>
    <t>Mês/Ano Competência</t>
  </si>
  <si>
    <t>CAIXA</t>
  </si>
  <si>
    <t>Data de Pagamento</t>
  </si>
  <si>
    <t>Indice de Atualização (IPCA)</t>
  </si>
  <si>
    <t>Total Óleo Combustível</t>
  </si>
  <si>
    <t>Março</t>
  </si>
  <si>
    <t>Reprocessamento</t>
  </si>
  <si>
    <t>Cálculo ICMS</t>
  </si>
  <si>
    <t>Cálculo valor líquido</t>
  </si>
  <si>
    <t>Preço Líquido Médio</t>
  </si>
  <si>
    <t>Valor Reprocessamento</t>
  </si>
  <si>
    <t>TOTALIZADOR</t>
  </si>
  <si>
    <t>Data Limite envio NF</t>
  </si>
  <si>
    <t>Data envio  NF</t>
  </si>
  <si>
    <t>Status Entrega NF</t>
  </si>
  <si>
    <t>Valor Válido - Competência</t>
  </si>
  <si>
    <t>Qtde Compra com Aplicação Redutor de Eficiência</t>
  </si>
  <si>
    <t>Informações colhidas no sítio eletrônico da ANP</t>
  </si>
  <si>
    <t>Significado cores colunas</t>
  </si>
  <si>
    <t>Datas, dados de Notas Fiscais e outros dados</t>
  </si>
  <si>
    <t>Dados retirados de outras abas da planilha</t>
  </si>
  <si>
    <t>Dados calculados</t>
  </si>
  <si>
    <t>Dados totalizadores</t>
  </si>
  <si>
    <t>Dados retirados de outras fontes</t>
  </si>
  <si>
    <t>Conteúdo das Abas</t>
  </si>
  <si>
    <t>NF carvão</t>
  </si>
  <si>
    <t>Secund</t>
  </si>
  <si>
    <t>NF Óleo Comb</t>
  </si>
  <si>
    <t>Carvâo &amp; Total</t>
  </si>
  <si>
    <t>ANP Óleo Comb</t>
  </si>
  <si>
    <t>NF Diesel</t>
  </si>
  <si>
    <t>ANP Diesel</t>
  </si>
  <si>
    <t>Parâmetros</t>
  </si>
  <si>
    <t>Reprocessamentos</t>
  </si>
  <si>
    <t>Financeiro</t>
  </si>
  <si>
    <t>SCD</t>
  </si>
  <si>
    <t>Resumo dos cálculos do reembolso do combustíveis secundários.</t>
  </si>
  <si>
    <t>Cálculos do valor de óleo combustível reembolsado, apurado por meio das Notas Fiscais, por competência mensal.</t>
  </si>
  <si>
    <t>Cálculos para obtenção do preço liquido ANP mensal.</t>
  </si>
  <si>
    <t>Cálculos do valor de óleo diesel reembolsado, apurado por meio das Notas Fiscais, por competência mensal.</t>
  </si>
  <si>
    <t>Reprocessamentos realizados no ano.</t>
  </si>
  <si>
    <t>Resumo de todos pagamentos realizados, por Regime de Competência e por Regime de Caixa.</t>
  </si>
  <si>
    <t>Verificar se houve carvão reembolsado e não consumido no ano.</t>
  </si>
  <si>
    <t>Informações de medição de geração e do consumo de carvão e dos combustíveis secundários registrados no SCD.</t>
  </si>
  <si>
    <t>Verificação da recuperação de tributos na compra de combustíveis para consideração no cálculo do reembolso.</t>
  </si>
  <si>
    <t>Resumo mensal do reembolso do carvão e dos combustíveis secundários.</t>
  </si>
  <si>
    <t>Notas fiscais de compra do carvão encaminhadas pelo beneficiário, para aquele ano.</t>
  </si>
  <si>
    <t>Dados da Nota técnica do Orçamento CDE Anual.</t>
  </si>
  <si>
    <t>*Apenas com fim de verificação, os dados não impactam nenhum cálculo</t>
  </si>
  <si>
    <r>
      <t xml:space="preserve">                  </t>
    </r>
    <r>
      <rPr>
        <b/>
        <sz val="14"/>
        <color rgb="FF002060"/>
        <rFont val="Calibri"/>
        <family val="2"/>
        <scheme val="minor"/>
      </rPr>
      <t>Estoque / Obrigação com CDE (Em toneladas de carvão)</t>
    </r>
  </si>
  <si>
    <t>CGTEEE/UPME/98-02026</t>
  </si>
  <si>
    <t>Riograndense</t>
  </si>
  <si>
    <t>¹ Estoque informado pelo beneficiário durante a realização do PAC.</t>
  </si>
  <si>
    <t>CANDIOTA</t>
  </si>
  <si>
    <t>Compra Mínima de Carvão (t)</t>
  </si>
  <si>
    <t>Consumo SCD (t)</t>
  </si>
  <si>
    <t>Carvão não consumido (Ano) (t)</t>
  </si>
  <si>
    <t>Para a apuração da Eficiência Energética solicitar a memória de cálculo via chamado</t>
  </si>
  <si>
    <t>Acompanhamento Ea-1</t>
  </si>
  <si>
    <t>*O cálculo do Ea-1 não exime o beneficiário de informar o estoque durante o rito orçamentário, os valores aqui dispostos têm o devido fim de verificação da compra minima reembolsada e não consumida. Ressalta-se que os valores aqui dispostos estão sujeitos a qualquer momento de fiscalização da Aneel.</t>
  </si>
  <si>
    <t>Compra Mínima (t)</t>
  </si>
  <si>
    <t>Ger. Bruta (MWh)</t>
  </si>
  <si>
    <t>Ger. Líquida (MWh)</t>
  </si>
  <si>
    <t>Qtde (L)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</si>
  <si>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</si>
  <si>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</si>
  <si>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</si>
  <si>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</si>
  <si>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</si>
  <si>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</si>
  <si>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</si>
  <si>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</si>
  <si>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</si>
  <si>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4800000098/2020</t>
  </si>
  <si>
    <t>Seival Sul</t>
  </si>
  <si>
    <t>Vigência Preço</t>
  </si>
  <si>
    <t>abr/20-mar/21</t>
  </si>
  <si>
    <t>mar/20-fev/21</t>
  </si>
  <si>
    <t>Valor Inicial (R$/t)</t>
  </si>
  <si>
    <t>-</t>
  </si>
  <si>
    <t>Fiscalização Ea-1 (Suspenso)</t>
  </si>
  <si>
    <t>abr/21-mar/22</t>
  </si>
  <si>
    <t>mai/21-abr/22</t>
  </si>
  <si>
    <t>Estoque Custeado CDE não consumido no ano anterior (2021) [Ea-₁]*</t>
  </si>
  <si>
    <t>abr/22-mar/23</t>
  </si>
  <si>
    <t>§ 10. No caso de reembolsos que ocorrerem com menos de um mês, a CCEE poderá utilizar o último valor publicado no Painel Dinâmico da ANP ou os valores publicados em planilha eletrônica no sítio “Preços de distribuição de combustíveis”, ou ainda, outra publicação da ANP com a mesma finalidade. (REN 1016/2022)</t>
  </si>
  <si>
    <t>% Eficiência Energética, conforme art. 17, REN 1016/2022</t>
  </si>
  <si>
    <r>
      <t xml:space="preserve">[1] </t>
    </r>
    <r>
      <rPr>
        <sz val="11"/>
        <color rgb="FF0E2050"/>
        <rFont val="Calibri"/>
        <family val="2"/>
        <scheme val="minor"/>
      </rPr>
      <t>Qtde comprada não pode ser superior à compra mínima (quantidade comprada em 2002)</t>
    </r>
  </si>
  <si>
    <r>
      <rPr>
        <b/>
        <sz val="11"/>
        <color rgb="FF0E2050"/>
        <rFont val="Calibri"/>
        <family val="2"/>
        <scheme val="minor"/>
      </rPr>
      <t>[2]</t>
    </r>
    <r>
      <rPr>
        <sz val="11"/>
        <color rgb="FF0E2050"/>
        <rFont val="Calibri"/>
        <family val="2"/>
        <scheme val="minor"/>
      </rPr>
      <t xml:space="preserve"> Qtde comprada retirando-se 1/5 estoque histórico e estoque do ano anterior; e adicionando estoque estratégico .</t>
    </r>
  </si>
  <si>
    <r>
      <t xml:space="preserve">[3] </t>
    </r>
    <r>
      <rPr>
        <sz val="11"/>
        <color rgb="FF0E2050"/>
        <rFont val="Calibri"/>
        <family val="2"/>
        <scheme val="minor"/>
      </rPr>
      <t>Limitado à media do reembolso atualizado efetuado em 2013/14/15 (inciso III, art. 12 da REN 1016/2022)</t>
    </r>
  </si>
  <si>
    <t>abr/23-mar/24</t>
  </si>
  <si>
    <t>Não há PIS/COFINS nas NFs de Óleo Diesel</t>
  </si>
  <si>
    <t>CGT Eletrosul</t>
  </si>
  <si>
    <t>Restituição ao Fundo CDE conforme DSP 3240/2023 (36 vezes). Limitado a 75% do reembolso.</t>
  </si>
  <si>
    <t xml:space="preserve">IPCA </t>
  </si>
  <si>
    <t>Índice</t>
  </si>
  <si>
    <t xml:space="preserve">Caixa </t>
  </si>
  <si>
    <t xml:space="preserve">Saldo Devedor </t>
  </si>
  <si>
    <t xml:space="preserve">Montante ATUALIZADO </t>
  </si>
  <si>
    <t>Saldo não Descontado</t>
  </si>
  <si>
    <t>ATUALIZAÇÃO IPCA</t>
  </si>
  <si>
    <t xml:space="preserve">Parcela </t>
  </si>
  <si>
    <t>Valor da Parcela Atualizado (IPCA)</t>
  </si>
  <si>
    <t>Limite 75%</t>
  </si>
  <si>
    <t xml:space="preserve"> Reembolso</t>
  </si>
  <si>
    <t>jan/2021²</t>
  </si>
  <si>
    <t xml:space="preserve">jan.21 a 08.23 </t>
  </si>
  <si>
    <t xml:space="preserve">²A 1ª parcela foi quitada em jan/23,logo após houve a suspenção do DSP 2616/2020 e em set/2023 o DSP 3240/2023 determinou o retorno da cobrança agora em 36 vezes. </t>
  </si>
  <si>
    <t>¹ Fonte: Relatório de Projeções LCA 29/09/2023.</t>
  </si>
  <si>
    <t>Fiscalização Ehist (CGTEE)</t>
  </si>
  <si>
    <t>Fiscalização CGT ELETROSUL DSP 2616/2020 e DSP 3240/2023 - Receber</t>
  </si>
  <si>
    <t>CGTEE/UPME/98-02026</t>
  </si>
  <si>
    <t>Valor Atualizado (R$/t)*</t>
  </si>
  <si>
    <t xml:space="preserve">abr/24-fev/25 </t>
  </si>
  <si>
    <t>¹</t>
  </si>
  <si>
    <t>Não Há NF</t>
  </si>
  <si>
    <t>Não há NF</t>
  </si>
  <si>
    <t>fev/25-abr/25</t>
  </si>
  <si>
    <t>COMPANHIA RIOGRANDENSE DE MINERACAO CRM</t>
  </si>
  <si>
    <t>abr/25-ago/25</t>
  </si>
  <si>
    <t>Consumo destinado à Exportação</t>
  </si>
  <si>
    <t>Subtotal 2 (R$)</t>
  </si>
  <si>
    <t>Exportação Carvão (t)</t>
  </si>
  <si>
    <t>Exportação 
Óleo Diesel (m³)</t>
  </si>
  <si>
    <t>Exportação
Óleo Combustível (t)</t>
  </si>
  <si>
    <t>* Atualização do preço de carvão mineral referente ao Contrato CGTEE/UPME/98-02026, 18º Termo aditivo.</t>
  </si>
  <si>
    <t>Compra Mínima (t) [1]</t>
  </si>
  <si>
    <t>*Conforme DSP Aneel nº 2.158/2025 a titularidade da autorização da Central Geradora Termelétrica - UTE Candiota
III foi transferida  para a empresa sucessora J&amp;F S.A.(CNPJ 00.350.763/0001-62).</t>
  </si>
  <si>
    <t>**Conforme DSP Aneel nº 2.158/2025 a titularidade da autorização da Central Geradora Termelétrica - UTE Candiota
III foi transferida  para a empresa sucessora J&amp;F S.A.(CNPJ 00.350.763/0001-62).</t>
  </si>
  <si>
    <t>¹ Os valores de carvão mineral, óleo combustível e óleo diesel referentes às competências fev/25, mar/25, abr/25 e mai/25 estavam suspensos para pagamento, aguardando orientações do ONS.</t>
  </si>
  <si>
    <t>Reprocessamento - Óleo Diesel</t>
  </si>
  <si>
    <t>Reprocessamento - Óleo Combustível</t>
  </si>
  <si>
    <t>*Conforme DSP Aneel nº 2.158/2025 a titularidade da autorização da Central Geradora Termelétrica - UTE Candiota</t>
  </si>
  <si>
    <t>III foi transferida  para a empresa sucessora J&amp;F S.A.(CNPJ 00.350.763/0001-62).</t>
  </si>
  <si>
    <t>Reembolso J&amp;F - Candiota III*</t>
  </si>
  <si>
    <t>Reembolso  Candiota III*</t>
  </si>
  <si>
    <t>jan/26</t>
  </si>
  <si>
    <t>nov/26</t>
  </si>
  <si>
    <t xml:space="preserve">                                        Carvão Reembolsado e Não consumido no ano anterior (Ea-1)* - J&amp;F - Candiota III**</t>
  </si>
  <si>
    <t xml:space="preserve">                                   SCD - Sistema de Coleta de Dados -  J&amp;F - Candiota III*</t>
  </si>
  <si>
    <t>Reprocessamentos - J&amp;F - Candiota III*</t>
  </si>
  <si>
    <t>Pagamentos -  J&amp;F - Candiota III*</t>
  </si>
  <si>
    <t>Óleo Combustível</t>
  </si>
  <si>
    <t>Carvão Mineral</t>
  </si>
  <si>
    <t>DSP 113.2025 - CONFAZ ICMS - 2026</t>
  </si>
  <si>
    <t>Óleo Diesel -  J&amp;F - Candiota III*</t>
  </si>
  <si>
    <t>Óleo Combustível -  J&amp;F - Candiota III*</t>
  </si>
  <si>
    <t xml:space="preserve"> Paramêtros NT Nº 237/2025-STR/ANEEL, de 04/12/2025.</t>
  </si>
  <si>
    <t>Aplicação em 2026</t>
  </si>
  <si>
    <t>Ano 2025</t>
  </si>
  <si>
    <t>carvão mineral</t>
  </si>
  <si>
    <t>Reprocessamento da medição do carvão mineral passando de 327.822,00 para 203.164,00, competência 11/25 - CTS-10739</t>
  </si>
  <si>
    <t xml:space="preserve">Óleo diesel </t>
  </si>
  <si>
    <t>Reprocessamento da medição do óleo diesel passando de 288,79 para zero, competência 11/25 - CTS-10739</t>
  </si>
  <si>
    <t xml:space="preserve">Óleo combustivel </t>
  </si>
  <si>
    <t>Reprocessamento da medição do óleo combustível passando de 1684,19400000029 para zero, competência 11/25 - CTS-10739</t>
  </si>
  <si>
    <t>Reprocessamento da medição do carvão mineral passando de 138.503,00 para 203.164,00, competência 12/25 - CTS-10741</t>
  </si>
  <si>
    <t>Reprocessamento da medição do óleo combustível passando de 621,6 para 244,46, competência 12/25 - CTS-10741</t>
  </si>
  <si>
    <t>Reprocessamento da medição do carvão mineral passando de 0 para 93049 T, competência 01/26 - CTS-10853</t>
  </si>
  <si>
    <t>Reprocessamento da medição do óleo diesel passando de 0,05 para 35,86, competência 01/26 -  CTS-10853</t>
  </si>
  <si>
    <t>Reprocessamento da medição do óleo combustível passando de 22,09 para 104,428, competência 01/26 - CTS-10853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</si>
</sst>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dd/mm/yy;@"/>
    <numFmt numFmtId="165" formatCode="0.000"/>
    <numFmt numFmtId="166" formatCode="#,##0.00_ ;[Red]\-#,##0.00\ "/>
    <numFmt numFmtId="167" formatCode="#,##0_ ;[Red]\-#,##0\ "/>
    <numFmt numFmtId="168" formatCode="#,##0.0_ ;[Red]\-#,##0.0\ "/>
    <numFmt numFmtId="169" formatCode="#,##0.000_ ;[Red]\-#,##0.000\ "/>
    <numFmt numFmtId="170" formatCode="_-* #,##0_-;\-* #,##0_-;_-* &quot;-&quot;??_-;_-@_-"/>
    <numFmt numFmtId="171" formatCode="&quot;R$&quot;\ #,##0.00"/>
    <numFmt numFmtId="172" formatCode="[$-416]mmm\-yy;@"/>
    <numFmt numFmtId="173" formatCode="_-* #,##0.000000000000_-;\-* #,##0.000000000000_-;_-* &quot;-&quot;??_-;_-@_-"/>
    <numFmt numFmtId="174" formatCode="0.0000000"/>
    <numFmt numFmtId="175" formatCode="0.0000"/>
    <numFmt numFmtId="176" formatCode="0.00000"/>
  </numFmts>
  <fonts count="4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8"/>
      <color rgb="FF0E2050"/>
      <name val="Calibri"/>
      <family val="2"/>
      <scheme val="minor"/>
    </font>
    <font>
      <b/>
      <sz val="11"/>
      <color rgb="FF0E2050"/>
      <name val="Calibri"/>
      <family val="2"/>
      <scheme val="minor"/>
    </font>
    <font>
      <sz val="11"/>
      <color rgb="FF0E2050"/>
      <name val="Calibri"/>
      <family val="2"/>
      <scheme val="minor"/>
    </font>
    <font>
      <b/>
      <sz val="14"/>
      <color rgb="FF0E205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8296C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2"/>
      <color rgb="FF08296C"/>
      <name val="Calibri"/>
      <family val="2"/>
      <scheme val="minor"/>
    </font>
    <font>
      <sz val="8"/>
      <name val="Courier New"/>
      <family val="3"/>
    </font>
    <font>
      <sz val="11"/>
      <color theme="2" tint="-0.249977111117893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1"/>
      <color rgb="FF000C4C"/>
      <name val="Calibri"/>
      <family val="2"/>
      <scheme val="minor"/>
    </font>
    <font>
      <sz val="11"/>
      <color rgb="FF000C4C"/>
      <name val="Calibri"/>
      <family val="2"/>
      <scheme val="minor"/>
    </font>
    <font>
      <b/>
      <sz val="18"/>
      <color rgb="FF06038D"/>
      <name val="Calibri"/>
      <family val="2"/>
      <scheme val="minor"/>
    </font>
    <font>
      <b/>
      <sz val="11"/>
      <color rgb="FF06038D"/>
      <name val="Calibri"/>
      <family val="2"/>
      <scheme val="minor"/>
    </font>
    <font>
      <sz val="11"/>
      <color rgb="FF06038D"/>
      <name val="Calibri"/>
      <family val="2"/>
      <scheme val="minor"/>
    </font>
    <font>
      <b/>
      <sz val="14"/>
      <color rgb="FF06038D"/>
      <name val="Calibri"/>
      <family val="2"/>
      <scheme val="minor"/>
    </font>
    <font>
      <b/>
      <sz val="16"/>
      <color rgb="FF06038D"/>
      <name val="Calibri"/>
      <family val="2"/>
      <scheme val="minor"/>
    </font>
    <font>
      <sz val="11"/>
      <color rgb="FF08296C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1"/>
      <name val="Roboto"/>
    </font>
    <font>
      <sz val="11"/>
      <color rgb="FFFF0000"/>
      <name val="Calibri"/>
      <family val="2"/>
      <scheme val="minor"/>
    </font>
    <font>
      <b/>
      <sz val="24"/>
      <color rgb="FF000C4C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</font>
    <font>
      <b/>
      <sz val="28"/>
      <color theme="4" tint="-0.499984740745262"/>
      <name val="Calibri"/>
      <family val="2"/>
      <scheme val="minor"/>
    </font>
    <font>
      <b/>
      <sz val="28"/>
      <color rgb="FF06038D"/>
      <name val="Calibri"/>
      <family val="2"/>
      <scheme val="minor"/>
    </font>
    <font>
      <sz val="11"/>
      <name val="Aptos Narrow"/>
      <family val="2"/>
    </font>
    <font>
      <sz val="10"/>
      <color rgb="FF000000"/>
      <name val="Arial"/>
      <family val="2"/>
    </font>
    <font>
      <sz val="11"/>
      <name val="Aptos Narrow"/>
      <family val="2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BBB21"/>
        <bgColor indexed="64"/>
      </patternFill>
    </fill>
    <fill>
      <patternFill patternType="solid">
        <fgColor rgb="FF0E2050"/>
        <bgColor indexed="64"/>
      </patternFill>
    </fill>
    <fill>
      <patternFill patternType="solid">
        <fgColor rgb="FF08296C"/>
        <bgColor indexed="64"/>
      </patternFill>
    </fill>
    <fill>
      <patternFill patternType="solid">
        <fgColor rgb="FF0073AE"/>
        <bgColor indexed="64"/>
      </patternFill>
    </fill>
    <fill>
      <patternFill patternType="solid">
        <fgColor rgb="FF007B77"/>
        <bgColor indexed="64"/>
      </patternFill>
    </fill>
    <fill>
      <patternFill patternType="solid">
        <fgColor rgb="FF00909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1EB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B8DDE1"/>
        <bgColor indexed="64"/>
      </patternFill>
    </fill>
    <fill>
      <patternFill patternType="solid">
        <fgColor rgb="FF06038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0C0"/>
        <bgColor indexed="64"/>
      </patternFill>
    </fill>
  </fills>
  <borders count="61">
    <border>
      <left/>
      <right/>
      <top/>
      <bottom/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BBB21"/>
      </left>
      <right style="thin">
        <color rgb="FFFBBB21"/>
      </right>
      <top style="thin">
        <color rgb="FFFBBB21"/>
      </top>
      <bottom style="thin">
        <color rgb="FFFBBB21"/>
      </bottom>
      <diagonal/>
    </border>
    <border>
      <left style="medium">
        <color rgb="FFFBBB21"/>
      </left>
      <right style="medium">
        <color rgb="FFFBBB21"/>
      </right>
      <top style="medium">
        <color rgb="FFFBBB21"/>
      </top>
      <bottom/>
      <diagonal/>
    </border>
    <border>
      <left style="thin">
        <color rgb="FFFBBB21"/>
      </left>
      <right/>
      <top style="thin">
        <color rgb="FFFBBB21"/>
      </top>
      <bottom style="thin">
        <color rgb="FFFBBB21"/>
      </bottom>
      <diagonal/>
    </border>
    <border>
      <left/>
      <right style="thin">
        <color rgb="FFFBBB21"/>
      </right>
      <top style="thin">
        <color rgb="FFFBBB21"/>
      </top>
      <bottom style="thin">
        <color rgb="FFFBBB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FBBB21"/>
      </bottom>
      <diagonal/>
    </border>
    <border>
      <left style="thin">
        <color rgb="FFFFC000"/>
      </left>
      <right/>
      <top style="thin">
        <color rgb="FFFFC000"/>
      </top>
      <bottom/>
      <diagonal/>
    </border>
    <border>
      <left/>
      <right/>
      <top style="thin">
        <color rgb="FFFFC000"/>
      </top>
      <bottom/>
      <diagonal/>
    </border>
    <border>
      <left/>
      <right style="thin">
        <color rgb="FFFFC000"/>
      </right>
      <top style="thin">
        <color rgb="FFFFC000"/>
      </top>
      <bottom/>
      <diagonal/>
    </border>
    <border>
      <left style="thin">
        <color rgb="FFFFC000"/>
      </left>
      <right style="thin">
        <color rgb="FFFFCB05"/>
      </right>
      <top/>
      <bottom style="thin">
        <color rgb="FFFFC000"/>
      </bottom>
      <diagonal/>
    </border>
    <border>
      <left style="thin">
        <color rgb="FFFFC000"/>
      </left>
      <right/>
      <top/>
      <bottom/>
      <diagonal/>
    </border>
    <border>
      <left style="thin">
        <color rgb="FF000C4C"/>
      </left>
      <right style="thin">
        <color rgb="FF000C4C"/>
      </right>
      <top style="thin">
        <color rgb="FF000C4C"/>
      </top>
      <bottom style="thin">
        <color rgb="FF000C4C"/>
      </bottom>
      <diagonal/>
    </border>
    <border>
      <left style="thin">
        <color rgb="FF000C4C"/>
      </left>
      <right style="thin">
        <color rgb="FF000C4C"/>
      </right>
      <top style="thin">
        <color rgb="FF000C4C"/>
      </top>
      <bottom style="thick">
        <color rgb="FF000C4C"/>
      </bottom>
      <diagonal/>
    </border>
    <border>
      <left style="thin">
        <color rgb="FF000C4C"/>
      </left>
      <right style="thin">
        <color rgb="FF000C4C"/>
      </right>
      <top/>
      <bottom style="thin">
        <color rgb="FF000C4C"/>
      </bottom>
      <diagonal/>
    </border>
    <border>
      <left style="thin">
        <color rgb="FF000C4C"/>
      </left>
      <right style="thin">
        <color rgb="FF000C4C"/>
      </right>
      <top style="thin">
        <color indexed="64"/>
      </top>
      <bottom style="thin">
        <color rgb="FF000C4C"/>
      </bottom>
      <diagonal/>
    </border>
    <border>
      <left style="thin">
        <color rgb="FF000C4C"/>
      </left>
      <right/>
      <top style="thin">
        <color rgb="FF000C4C"/>
      </top>
      <bottom/>
      <diagonal/>
    </border>
    <border>
      <left/>
      <right/>
      <top style="thin">
        <color rgb="FF000C4C"/>
      </top>
      <bottom/>
      <diagonal/>
    </border>
    <border>
      <left/>
      <right style="thin">
        <color rgb="FF000C4C"/>
      </right>
      <top style="thin">
        <color rgb="FF000C4C"/>
      </top>
      <bottom/>
      <diagonal/>
    </border>
    <border>
      <left style="medium">
        <color rgb="FF000C4C"/>
      </left>
      <right/>
      <top style="medium">
        <color rgb="FF000C4C"/>
      </top>
      <bottom style="medium">
        <color rgb="FF000C4C"/>
      </bottom>
      <diagonal/>
    </border>
    <border>
      <left/>
      <right/>
      <top style="medium">
        <color rgb="FF000C4C"/>
      </top>
      <bottom style="medium">
        <color rgb="FF000C4C"/>
      </bottom>
      <diagonal/>
    </border>
    <border>
      <left/>
      <right style="medium">
        <color rgb="FF000C4C"/>
      </right>
      <top style="medium">
        <color rgb="FF000C4C"/>
      </top>
      <bottom style="medium">
        <color rgb="FF000C4C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E2050"/>
      </left>
      <right style="medium">
        <color rgb="FF0E2050"/>
      </right>
      <top style="medium">
        <color rgb="FF0E2050"/>
      </top>
      <bottom style="medium">
        <color rgb="FF0E2050"/>
      </bottom>
      <diagonal/>
    </border>
    <border>
      <left style="medium">
        <color rgb="FF0E2050"/>
      </left>
      <right style="medium">
        <color rgb="FF0E2050"/>
      </right>
      <top style="medium">
        <color rgb="FF0E2050"/>
      </top>
      <bottom style="thin">
        <color rgb="FF0E2050"/>
      </bottom>
      <diagonal/>
    </border>
    <border>
      <left style="medium">
        <color rgb="FF0E2050"/>
      </left>
      <right style="medium">
        <color rgb="FF0E2050"/>
      </right>
      <top style="thin">
        <color rgb="FF0E2050"/>
      </top>
      <bottom style="medium">
        <color rgb="FF0E2050"/>
      </bottom>
      <diagonal/>
    </border>
    <border>
      <left style="thin">
        <color rgb="FF0E2050"/>
      </left>
      <right style="thin">
        <color rgb="FF0E2050"/>
      </right>
      <top style="medium">
        <color rgb="FF0E2050"/>
      </top>
      <bottom style="medium">
        <color rgb="FF0E2050"/>
      </bottom>
      <diagonal/>
    </border>
    <border>
      <left style="medium">
        <color rgb="FF0E2050"/>
      </left>
      <right/>
      <top style="medium">
        <color rgb="FF0E2050"/>
      </top>
      <bottom style="medium">
        <color rgb="FF0E2050"/>
      </bottom>
      <diagonal/>
    </border>
    <border>
      <left style="medium">
        <color rgb="FF0E2050"/>
      </left>
      <right/>
      <top style="medium">
        <color rgb="FF0E2050"/>
      </top>
      <bottom style="thin">
        <color rgb="FF0E2050"/>
      </bottom>
      <diagonal/>
    </border>
    <border>
      <left style="medium">
        <color rgb="FF0E2050"/>
      </left>
      <right/>
      <top style="thin">
        <color rgb="FF0E2050"/>
      </top>
      <bottom style="medium">
        <color rgb="FF0E2050"/>
      </bottom>
      <diagonal/>
    </border>
    <border>
      <left style="thin">
        <color rgb="FF0E2050"/>
      </left>
      <right style="thin">
        <color rgb="FF0E2050"/>
      </right>
      <top style="medium">
        <color rgb="FF0E2050"/>
      </top>
      <bottom style="thin">
        <color rgb="FF0E2050"/>
      </bottom>
      <diagonal/>
    </border>
    <border>
      <left style="thin">
        <color rgb="FF0E2050"/>
      </left>
      <right style="thin">
        <color rgb="FF0E2050"/>
      </right>
      <top style="thin">
        <color rgb="FF0E2050"/>
      </top>
      <bottom style="medium">
        <color rgb="FF0E2050"/>
      </bottom>
      <diagonal/>
    </border>
    <border>
      <left style="thin">
        <color rgb="FF0E2050"/>
      </left>
      <right/>
      <top style="medium">
        <color rgb="FF0E2050"/>
      </top>
      <bottom style="medium">
        <color rgb="FF0E2050"/>
      </bottom>
      <diagonal/>
    </border>
    <border>
      <left style="thin">
        <color rgb="FF0E2050"/>
      </left>
      <right/>
      <top style="medium">
        <color rgb="FF0E2050"/>
      </top>
      <bottom style="thin">
        <color rgb="FF0E2050"/>
      </bottom>
      <diagonal/>
    </border>
    <border>
      <left style="thin">
        <color rgb="FF0E2050"/>
      </left>
      <right/>
      <top style="thin">
        <color rgb="FF0E2050"/>
      </top>
      <bottom style="medium">
        <color rgb="FF0E2050"/>
      </bottom>
      <diagonal/>
    </border>
    <border>
      <left style="thin">
        <color rgb="FF000C4C"/>
      </left>
      <right/>
      <top/>
      <bottom style="thin">
        <color rgb="FF000C4C"/>
      </bottom>
      <diagonal/>
    </border>
    <border>
      <left/>
      <right/>
      <top/>
      <bottom style="thin">
        <color rgb="FF000C4C"/>
      </bottom>
      <diagonal/>
    </border>
    <border>
      <left style="thin">
        <color rgb="FF000C4C"/>
      </left>
      <right/>
      <top style="thin">
        <color rgb="FF000C4C"/>
      </top>
      <bottom style="thin">
        <color rgb="FF000C4C"/>
      </bottom>
      <diagonal/>
    </border>
    <border>
      <left/>
      <right/>
      <top style="thin">
        <color rgb="FF000C4C"/>
      </top>
      <bottom style="thin">
        <color rgb="FF000C4C"/>
      </bottom>
      <diagonal/>
    </border>
    <border>
      <left/>
      <right style="thin">
        <color rgb="FF000C4C"/>
      </right>
      <top style="thin">
        <color rgb="FF000C4C"/>
      </top>
      <bottom style="thin">
        <color rgb="FF000C4C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rgb="FF4C4C4C"/>
      </left>
      <right/>
      <top style="thin">
        <color rgb="FF4C4C4C"/>
      </top>
      <bottom style="thin">
        <color rgb="FF4C4C4C"/>
      </bottom>
      <diagonal/>
    </border>
    <border>
      <left/>
      <right style="thin">
        <color rgb="FF4C4C4C"/>
      </right>
      <top style="thin">
        <color rgb="FF4C4C4C"/>
      </top>
      <bottom style="thin">
        <color rgb="FF4C4C4C"/>
      </bottom>
      <diagonal/>
    </border>
    <border>
      <left style="thin">
        <color rgb="FF4C4C4C"/>
      </left>
      <right style="thin">
        <color rgb="FF4C4C4C"/>
      </right>
      <top style="thin">
        <color rgb="FF4C4C4C"/>
      </top>
      <bottom style="thin">
        <color rgb="FF4C4C4C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rgb="FF000C4C"/>
      </left>
      <right style="thin">
        <color rgb="FF000C4C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002060"/>
      </bottom>
      <diagonal/>
    </border>
    <border>
      <left style="thin">
        <color rgb="FF000C4C"/>
      </left>
      <right style="thin">
        <color rgb="FF000C4C"/>
      </right>
      <top/>
      <bottom/>
      <diagonal/>
    </border>
  </borders>
  <cellStyleXfs count="10">
    <xf numFmtId="0" fontId="0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36" fillId="0" borderId="0"/>
    <xf numFmtId="0" fontId="39" fillId="0" borderId="0"/>
    <xf numFmtId="43" fontId="5" fillId="0" borderId="0" applyFont="0" applyFill="0" applyBorder="0" applyAlignment="0" applyProtection="0"/>
    <xf numFmtId="0" fontId="41" fillId="0" borderId="0"/>
  </cellStyleXfs>
  <cellXfs count="360">
    <xf numFmtId="0" fontId="0" fillId="0" borderId="0" xfId="0"/>
    <xf numFmtId="0" fontId="1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wrapText="1"/>
    </xf>
    <xf numFmtId="17" fontId="0" fillId="0" borderId="0" xfId="0" applyNumberFormat="1"/>
    <xf numFmtId="0" fontId="1" fillId="0" borderId="0" xfId="0" applyFon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9" fontId="0" fillId="0" borderId="0" xfId="1" applyFont="1"/>
    <xf numFmtId="44" fontId="0" fillId="0" borderId="0" xfId="2" applyFont="1"/>
    <xf numFmtId="0" fontId="10" fillId="0" borderId="0" xfId="0" applyFont="1"/>
    <xf numFmtId="0" fontId="10" fillId="5" borderId="3" xfId="0" applyFont="1" applyFill="1" applyBorder="1" applyAlignment="1">
      <alignment horizontal="center" vertical="center" wrapText="1"/>
    </xf>
    <xf numFmtId="0" fontId="11" fillId="0" borderId="2" xfId="0" applyFont="1" applyBorder="1"/>
    <xf numFmtId="44" fontId="11" fillId="0" borderId="2" xfId="2" applyFont="1" applyBorder="1"/>
    <xf numFmtId="17" fontId="11" fillId="0" borderId="2" xfId="0" applyNumberFormat="1" applyFont="1" applyBorder="1"/>
    <xf numFmtId="14" fontId="11" fillId="3" borderId="2" xfId="0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 wrapText="1"/>
    </xf>
    <xf numFmtId="10" fontId="11" fillId="0" borderId="2" xfId="0" applyNumberFormat="1" applyFont="1" applyBorder="1"/>
    <xf numFmtId="0" fontId="7" fillId="6" borderId="4" xfId="0" applyFont="1" applyFill="1" applyBorder="1" applyAlignment="1">
      <alignment horizontal="center" wrapText="1"/>
    </xf>
    <xf numFmtId="164" fontId="11" fillId="0" borderId="2" xfId="0" applyNumberFormat="1" applyFont="1" applyBorder="1" applyAlignment="1">
      <alignment horizontal="left"/>
    </xf>
    <xf numFmtId="0" fontId="10" fillId="3" borderId="2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2" xfId="0" applyNumberFormat="1" applyBorder="1"/>
    <xf numFmtId="166" fontId="0" fillId="4" borderId="2" xfId="0" applyNumberFormat="1" applyFill="1" applyBorder="1"/>
    <xf numFmtId="166" fontId="0" fillId="0" borderId="0" xfId="0" applyNumberFormat="1"/>
    <xf numFmtId="167" fontId="11" fillId="0" borderId="2" xfId="0" applyNumberFormat="1" applyFont="1" applyBorder="1" applyAlignment="1">
      <alignment horizontal="center"/>
    </xf>
    <xf numFmtId="167" fontId="0" fillId="0" borderId="0" xfId="0" applyNumberFormat="1"/>
    <xf numFmtId="168" fontId="0" fillId="0" borderId="0" xfId="0" applyNumberFormat="1"/>
    <xf numFmtId="167" fontId="11" fillId="0" borderId="2" xfId="0" applyNumberFormat="1" applyFont="1" applyBorder="1"/>
    <xf numFmtId="167" fontId="0" fillId="0" borderId="0" xfId="0" applyNumberFormat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11" fillId="0" borderId="0" xfId="0" applyFont="1"/>
    <xf numFmtId="9" fontId="11" fillId="0" borderId="0" xfId="1" applyFont="1" applyBorder="1"/>
    <xf numFmtId="169" fontId="0" fillId="0" borderId="0" xfId="0" applyNumberFormat="1"/>
    <xf numFmtId="169" fontId="0" fillId="0" borderId="0" xfId="0" applyNumberFormat="1" applyAlignment="1">
      <alignment horizontal="center"/>
    </xf>
    <xf numFmtId="8" fontId="0" fillId="0" borderId="0" xfId="0" applyNumberFormat="1"/>
    <xf numFmtId="8" fontId="0" fillId="0" borderId="0" xfId="0" applyNumberFormat="1" applyAlignment="1">
      <alignment horizontal="center" wrapText="1"/>
    </xf>
    <xf numFmtId="165" fontId="10" fillId="3" borderId="2" xfId="0" applyNumberFormat="1" applyFont="1" applyFill="1" applyBorder="1"/>
    <xf numFmtId="165" fontId="10" fillId="3" borderId="0" xfId="0" applyNumberFormat="1" applyFont="1" applyFill="1"/>
    <xf numFmtId="166" fontId="10" fillId="0" borderId="0" xfId="0" applyNumberFormat="1" applyFont="1" applyAlignment="1">
      <alignment horizontal="center"/>
    </xf>
    <xf numFmtId="0" fontId="2" fillId="0" borderId="6" xfId="0" applyFont="1" applyBorder="1"/>
    <xf numFmtId="0" fontId="7" fillId="9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167" fontId="8" fillId="0" borderId="2" xfId="0" applyNumberFormat="1" applyFont="1" applyBorder="1"/>
    <xf numFmtId="166" fontId="8" fillId="0" borderId="2" xfId="0" applyNumberFormat="1" applyFont="1" applyBorder="1"/>
    <xf numFmtId="0" fontId="7" fillId="8" borderId="11" xfId="0" applyFont="1" applyFill="1" applyBorder="1" applyAlignment="1">
      <alignment horizontal="center" vertical="center" wrapText="1"/>
    </xf>
    <xf numFmtId="164" fontId="8" fillId="0" borderId="2" xfId="0" applyNumberFormat="1" applyFont="1" applyBorder="1"/>
    <xf numFmtId="168" fontId="8" fillId="0" borderId="2" xfId="0" applyNumberFormat="1" applyFont="1" applyBorder="1"/>
    <xf numFmtId="166" fontId="8" fillId="4" borderId="2" xfId="0" applyNumberFormat="1" applyFont="1" applyFill="1" applyBorder="1"/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8" fontId="11" fillId="0" borderId="2" xfId="0" applyNumberFormat="1" applyFont="1" applyBorder="1" applyAlignment="1">
      <alignment horizontal="center"/>
    </xf>
    <xf numFmtId="0" fontId="12" fillId="0" borderId="0" xfId="0" applyFont="1" applyAlignment="1">
      <alignment vertical="center"/>
    </xf>
    <xf numFmtId="164" fontId="0" fillId="0" borderId="0" xfId="0" applyNumberFormat="1" applyAlignment="1">
      <alignment horizontal="center" wrapText="1"/>
    </xf>
    <xf numFmtId="167" fontId="1" fillId="0" borderId="0" xfId="0" applyNumberFormat="1" applyFont="1" applyAlignment="1">
      <alignment horizontal="center" wrapText="1"/>
    </xf>
    <xf numFmtId="168" fontId="1" fillId="0" borderId="0" xfId="0" applyNumberFormat="1" applyFont="1" applyAlignment="1">
      <alignment horizontal="center" wrapText="1"/>
    </xf>
    <xf numFmtId="166" fontId="0" fillId="0" borderId="0" xfId="0" applyNumberFormat="1" applyAlignment="1">
      <alignment horizontal="center" wrapText="1"/>
    </xf>
    <xf numFmtId="0" fontId="12" fillId="0" borderId="0" xfId="0" applyFont="1" applyAlignment="1">
      <alignment horizontal="center" vertical="center"/>
    </xf>
    <xf numFmtId="44" fontId="10" fillId="0" borderId="0" xfId="2" applyFont="1" applyBorder="1"/>
    <xf numFmtId="43" fontId="0" fillId="0" borderId="0" xfId="0" applyNumberFormat="1"/>
    <xf numFmtId="0" fontId="0" fillId="0" borderId="0" xfId="0" applyAlignment="1">
      <alignment vertical="top"/>
    </xf>
    <xf numFmtId="44" fontId="0" fillId="0" borderId="0" xfId="0" applyNumberFormat="1"/>
    <xf numFmtId="2" fontId="0" fillId="0" borderId="0" xfId="2" applyNumberFormat="1" applyFont="1" applyAlignment="1">
      <alignment horizontal="center"/>
    </xf>
    <xf numFmtId="2" fontId="0" fillId="0" borderId="0" xfId="0" applyNumberFormat="1"/>
    <xf numFmtId="4" fontId="0" fillId="0" borderId="0" xfId="0" applyNumberFormat="1"/>
    <xf numFmtId="171" fontId="0" fillId="0" borderId="0" xfId="0" applyNumberFormat="1"/>
    <xf numFmtId="0" fontId="0" fillId="0" borderId="0" xfId="0" quotePrefix="1"/>
    <xf numFmtId="0" fontId="7" fillId="7" borderId="13" xfId="0" applyFont="1" applyFill="1" applyBorder="1" applyAlignment="1">
      <alignment horizontal="center" vertical="center" wrapText="1"/>
    </xf>
    <xf numFmtId="0" fontId="7" fillId="9" borderId="13" xfId="0" applyFont="1" applyFill="1" applyBorder="1" applyAlignment="1">
      <alignment horizontal="center" vertical="center" wrapText="1"/>
    </xf>
    <xf numFmtId="0" fontId="7" fillId="10" borderId="13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 wrapText="1"/>
    </xf>
    <xf numFmtId="17" fontId="11" fillId="0" borderId="13" xfId="0" applyNumberFormat="1" applyFont="1" applyBorder="1"/>
    <xf numFmtId="0" fontId="11" fillId="0" borderId="13" xfId="0" applyFont="1" applyBorder="1"/>
    <xf numFmtId="14" fontId="11" fillId="0" borderId="13" xfId="0" applyNumberFormat="1" applyFont="1" applyBorder="1"/>
    <xf numFmtId="8" fontId="11" fillId="0" borderId="13" xfId="0" applyNumberFormat="1" applyFont="1" applyBorder="1"/>
    <xf numFmtId="8" fontId="11" fillId="0" borderId="13" xfId="2" applyNumberFormat="1" applyFont="1" applyFill="1" applyBorder="1"/>
    <xf numFmtId="172" fontId="8" fillId="0" borderId="13" xfId="3" quotePrefix="1" applyNumberFormat="1" applyFont="1" applyBorder="1" applyAlignment="1">
      <alignment horizontal="right" vertical="center"/>
    </xf>
    <xf numFmtId="44" fontId="11" fillId="0" borderId="13" xfId="2" applyFont="1" applyBorder="1"/>
    <xf numFmtId="0" fontId="15" fillId="0" borderId="14" xfId="0" applyFont="1" applyBorder="1"/>
    <xf numFmtId="44" fontId="8" fillId="0" borderId="14" xfId="0" applyNumberFormat="1" applyFont="1" applyBorder="1"/>
    <xf numFmtId="44" fontId="15" fillId="0" borderId="14" xfId="0" applyNumberFormat="1" applyFont="1" applyBorder="1"/>
    <xf numFmtId="0" fontId="10" fillId="13" borderId="13" xfId="0" applyFont="1" applyFill="1" applyBorder="1" applyAlignment="1">
      <alignment horizontal="center" vertical="center" wrapText="1"/>
    </xf>
    <xf numFmtId="4" fontId="11" fillId="0" borderId="13" xfId="0" applyNumberFormat="1" applyFont="1" applyBorder="1"/>
    <xf numFmtId="17" fontId="11" fillId="0" borderId="16" xfId="0" applyNumberFormat="1" applyFont="1" applyBorder="1"/>
    <xf numFmtId="4" fontId="11" fillId="0" borderId="16" xfId="0" applyNumberFormat="1" applyFont="1" applyBorder="1"/>
    <xf numFmtId="0" fontId="11" fillId="0" borderId="16" xfId="0" applyFont="1" applyBorder="1"/>
    <xf numFmtId="17" fontId="10" fillId="0" borderId="14" xfId="0" applyNumberFormat="1" applyFont="1" applyBorder="1"/>
    <xf numFmtId="0" fontId="11" fillId="0" borderId="14" xfId="0" applyFont="1" applyBorder="1"/>
    <xf numFmtId="0" fontId="7" fillId="8" borderId="13" xfId="0" applyFont="1" applyFill="1" applyBorder="1" applyAlignment="1">
      <alignment horizontal="center" vertical="center" wrapText="1"/>
    </xf>
    <xf numFmtId="164" fontId="0" fillId="0" borderId="13" xfId="0" applyNumberFormat="1" applyBorder="1"/>
    <xf numFmtId="167" fontId="0" fillId="0" borderId="13" xfId="0" applyNumberFormat="1" applyBorder="1"/>
    <xf numFmtId="168" fontId="0" fillId="0" borderId="13" xfId="0" applyNumberFormat="1" applyBorder="1"/>
    <xf numFmtId="166" fontId="0" fillId="0" borderId="13" xfId="0" applyNumberFormat="1" applyBorder="1"/>
    <xf numFmtId="166" fontId="10" fillId="3" borderId="13" xfId="0" applyNumberFormat="1" applyFont="1" applyFill="1" applyBorder="1" applyAlignment="1">
      <alignment horizontal="right"/>
    </xf>
    <xf numFmtId="17" fontId="11" fillId="0" borderId="13" xfId="0" applyNumberFormat="1" applyFont="1" applyBorder="1" applyAlignment="1">
      <alignment horizontal="right"/>
    </xf>
    <xf numFmtId="0" fontId="11" fillId="0" borderId="13" xfId="0" applyFont="1" applyBorder="1" applyAlignment="1">
      <alignment horizontal="center" wrapText="1"/>
    </xf>
    <xf numFmtId="4" fontId="11" fillId="0" borderId="13" xfId="1" applyNumberFormat="1" applyFont="1" applyBorder="1"/>
    <xf numFmtId="0" fontId="0" fillId="2" borderId="13" xfId="0" applyFill="1" applyBorder="1" applyAlignment="1">
      <alignment wrapText="1"/>
    </xf>
    <xf numFmtId="17" fontId="11" fillId="0" borderId="13" xfId="0" applyNumberFormat="1" applyFont="1" applyBorder="1" applyAlignment="1">
      <alignment horizontal="center" wrapText="1"/>
    </xf>
    <xf numFmtId="17" fontId="0" fillId="0" borderId="13" xfId="0" applyNumberFormat="1" applyBorder="1"/>
    <xf numFmtId="0" fontId="0" fillId="0" borderId="13" xfId="0" applyBorder="1"/>
    <xf numFmtId="0" fontId="7" fillId="8" borderId="15" xfId="0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/>
    </xf>
    <xf numFmtId="43" fontId="8" fillId="0" borderId="13" xfId="3" applyFont="1" applyBorder="1" applyAlignment="1">
      <alignment vertical="center"/>
    </xf>
    <xf numFmtId="10" fontId="8" fillId="0" borderId="13" xfId="3" applyNumberFormat="1" applyFont="1" applyBorder="1" applyAlignment="1">
      <alignment vertical="center"/>
    </xf>
    <xf numFmtId="44" fontId="8" fillId="0" borderId="13" xfId="2" applyFont="1" applyBorder="1" applyAlignment="1">
      <alignment vertical="center"/>
    </xf>
    <xf numFmtId="0" fontId="8" fillId="0" borderId="13" xfId="3" applyNumberFormat="1" applyFont="1" applyBorder="1" applyAlignment="1">
      <alignment vertical="center"/>
    </xf>
    <xf numFmtId="0" fontId="14" fillId="12" borderId="13" xfId="0" applyFont="1" applyFill="1" applyBorder="1" applyAlignment="1">
      <alignment horizontal="center" vertical="center" wrapText="1"/>
    </xf>
    <xf numFmtId="0" fontId="11" fillId="0" borderId="13" xfId="3" applyNumberFormat="1" applyFont="1" applyBorder="1" applyAlignment="1">
      <alignment vertical="center"/>
    </xf>
    <xf numFmtId="14" fontId="11" fillId="0" borderId="13" xfId="3" applyNumberFormat="1" applyFont="1" applyBorder="1" applyAlignment="1">
      <alignment vertical="center"/>
    </xf>
    <xf numFmtId="1" fontId="11" fillId="0" borderId="13" xfId="3" applyNumberFormat="1" applyFont="1" applyBorder="1" applyAlignment="1">
      <alignment vertical="center"/>
    </xf>
    <xf numFmtId="0" fontId="10" fillId="0" borderId="13" xfId="0" applyFont="1" applyBorder="1" applyAlignment="1">
      <alignment horizontal="center"/>
    </xf>
    <xf numFmtId="43" fontId="11" fillId="3" borderId="13" xfId="3" applyFont="1" applyFill="1" applyBorder="1" applyAlignment="1">
      <alignment horizontal="center"/>
    </xf>
    <xf numFmtId="171" fontId="11" fillId="3" borderId="13" xfId="0" applyNumberFormat="1" applyFont="1" applyFill="1" applyBorder="1" applyAlignment="1">
      <alignment horizontal="center"/>
    </xf>
    <xf numFmtId="43" fontId="11" fillId="0" borderId="13" xfId="3" applyFont="1" applyBorder="1" applyAlignment="1">
      <alignment vertical="center"/>
    </xf>
    <xf numFmtId="170" fontId="11" fillId="11" borderId="13" xfId="3" applyNumberFormat="1" applyFont="1" applyFill="1" applyBorder="1" applyAlignment="1">
      <alignment vertical="center"/>
    </xf>
    <xf numFmtId="0" fontId="19" fillId="0" borderId="13" xfId="3" applyNumberFormat="1" applyFont="1" applyBorder="1" applyAlignment="1">
      <alignment vertical="center"/>
    </xf>
    <xf numFmtId="43" fontId="19" fillId="0" borderId="13" xfId="3" applyFont="1" applyBorder="1" applyAlignment="1">
      <alignment vertical="center"/>
    </xf>
    <xf numFmtId="170" fontId="19" fillId="0" borderId="13" xfId="3" applyNumberFormat="1" applyFont="1" applyBorder="1" applyAlignment="1">
      <alignment vertical="center"/>
    </xf>
    <xf numFmtId="0" fontId="10" fillId="0" borderId="13" xfId="0" applyFont="1" applyBorder="1"/>
    <xf numFmtId="44" fontId="10" fillId="0" borderId="13" xfId="2" applyFont="1" applyBorder="1"/>
    <xf numFmtId="167" fontId="11" fillId="0" borderId="13" xfId="0" applyNumberFormat="1" applyFont="1" applyBorder="1"/>
    <xf numFmtId="166" fontId="11" fillId="0" borderId="13" xfId="0" applyNumberFormat="1" applyFont="1" applyBorder="1"/>
    <xf numFmtId="167" fontId="10" fillId="3" borderId="13" xfId="0" applyNumberFormat="1" applyFont="1" applyFill="1" applyBorder="1" applyAlignment="1">
      <alignment horizontal="center"/>
    </xf>
    <xf numFmtId="166" fontId="10" fillId="0" borderId="13" xfId="0" applyNumberFormat="1" applyFont="1" applyBorder="1"/>
    <xf numFmtId="166" fontId="10" fillId="3" borderId="13" xfId="0" applyNumberFormat="1" applyFont="1" applyFill="1" applyBorder="1" applyAlignment="1">
      <alignment horizontal="center"/>
    </xf>
    <xf numFmtId="166" fontId="10" fillId="3" borderId="13" xfId="0" applyNumberFormat="1" applyFont="1" applyFill="1" applyBorder="1"/>
    <xf numFmtId="0" fontId="14" fillId="13" borderId="23" xfId="0" applyFont="1" applyFill="1" applyBorder="1" applyAlignment="1">
      <alignment horizontal="center" vertical="center" wrapText="1"/>
    </xf>
    <xf numFmtId="17" fontId="11" fillId="0" borderId="23" xfId="0" applyNumberFormat="1" applyFont="1" applyBorder="1"/>
    <xf numFmtId="165" fontId="11" fillId="0" borderId="23" xfId="0" applyNumberFormat="1" applyFont="1" applyBorder="1"/>
    <xf numFmtId="14" fontId="11" fillId="0" borderId="23" xfId="0" applyNumberFormat="1" applyFont="1" applyBorder="1"/>
    <xf numFmtId="10" fontId="11" fillId="0" borderId="13" xfId="1" applyNumberFormat="1" applyFont="1" applyBorder="1"/>
    <xf numFmtId="0" fontId="22" fillId="14" borderId="24" xfId="0" applyFont="1" applyFill="1" applyBorder="1" applyAlignment="1">
      <alignment horizontal="center" wrapText="1"/>
    </xf>
    <xf numFmtId="0" fontId="7" fillId="8" borderId="24" xfId="0" applyFont="1" applyFill="1" applyBorder="1" applyAlignment="1">
      <alignment horizontal="center" vertical="center" wrapText="1"/>
    </xf>
    <xf numFmtId="0" fontId="14" fillId="13" borderId="24" xfId="0" applyFont="1" applyFill="1" applyBorder="1" applyAlignment="1">
      <alignment horizontal="center" vertical="center" wrapText="1"/>
    </xf>
    <xf numFmtId="17" fontId="0" fillId="0" borderId="29" xfId="0" applyNumberFormat="1" applyBorder="1"/>
    <xf numFmtId="0" fontId="1" fillId="0" borderId="30" xfId="0" applyFont="1" applyBorder="1"/>
    <xf numFmtId="0" fontId="22" fillId="14" borderId="27" xfId="0" applyFont="1" applyFill="1" applyBorder="1" applyAlignment="1">
      <alignment horizontal="center" wrapText="1"/>
    </xf>
    <xf numFmtId="0" fontId="6" fillId="0" borderId="31" xfId="0" applyFont="1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0" fillId="0" borderId="32" xfId="0" applyBorder="1" applyAlignment="1">
      <alignment vertical="center"/>
    </xf>
    <xf numFmtId="0" fontId="22" fillId="14" borderId="33" xfId="0" applyFont="1" applyFill="1" applyBorder="1" applyAlignment="1">
      <alignment horizontal="center" wrapText="1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/>
    </xf>
    <xf numFmtId="0" fontId="7" fillId="6" borderId="5" xfId="0" applyFont="1" applyFill="1" applyBorder="1" applyAlignment="1">
      <alignment horizontal="center" wrapText="1"/>
    </xf>
    <xf numFmtId="14" fontId="11" fillId="3" borderId="5" xfId="0" applyNumberFormat="1" applyFont="1" applyFill="1" applyBorder="1" applyAlignment="1">
      <alignment horizontal="center"/>
    </xf>
    <xf numFmtId="9" fontId="7" fillId="8" borderId="13" xfId="1" applyFont="1" applyFill="1" applyBorder="1" applyAlignment="1">
      <alignment horizontal="center" vertical="center" wrapText="1"/>
    </xf>
    <xf numFmtId="0" fontId="21" fillId="14" borderId="13" xfId="0" applyFont="1" applyFill="1" applyBorder="1" applyAlignment="1">
      <alignment horizontal="center" wrapText="1"/>
    </xf>
    <xf numFmtId="0" fontId="21" fillId="14" borderId="13" xfId="0" applyFont="1" applyFill="1" applyBorder="1" applyAlignment="1">
      <alignment horizontal="center" vertical="center" wrapText="1"/>
    </xf>
    <xf numFmtId="0" fontId="21" fillId="14" borderId="15" xfId="0" applyFont="1" applyFill="1" applyBorder="1" applyAlignment="1">
      <alignment horizontal="center" vertical="center" wrapText="1"/>
    </xf>
    <xf numFmtId="0" fontId="7" fillId="15" borderId="13" xfId="0" applyFont="1" applyFill="1" applyBorder="1" applyAlignment="1">
      <alignment horizontal="center" vertical="center"/>
    </xf>
    <xf numFmtId="0" fontId="7" fillId="15" borderId="13" xfId="0" applyFont="1" applyFill="1" applyBorder="1" applyAlignment="1">
      <alignment horizontal="center" vertical="center" wrapText="1"/>
    </xf>
    <xf numFmtId="17" fontId="7" fillId="15" borderId="13" xfId="0" applyNumberFormat="1" applyFont="1" applyFill="1" applyBorder="1"/>
    <xf numFmtId="0" fontId="7" fillId="15" borderId="23" xfId="0" applyFont="1" applyFill="1" applyBorder="1" applyAlignment="1">
      <alignment horizontal="center" vertical="center" wrapText="1"/>
    </xf>
    <xf numFmtId="0" fontId="7" fillId="15" borderId="28" xfId="0" applyFont="1" applyFill="1" applyBorder="1" applyAlignment="1">
      <alignment horizontal="center" vertical="center" wrapText="1"/>
    </xf>
    <xf numFmtId="165" fontId="11" fillId="0" borderId="13" xfId="0" applyNumberFormat="1" applyFont="1" applyBorder="1"/>
    <xf numFmtId="17" fontId="10" fillId="0" borderId="13" xfId="0" applyNumberFormat="1" applyFont="1" applyBorder="1"/>
    <xf numFmtId="0" fontId="25" fillId="0" borderId="0" xfId="0" applyFont="1"/>
    <xf numFmtId="0" fontId="7" fillId="15" borderId="13" xfId="0" applyFont="1" applyFill="1" applyBorder="1" applyAlignment="1">
      <alignment horizontal="center" wrapText="1"/>
    </xf>
    <xf numFmtId="0" fontId="28" fillId="0" borderId="0" xfId="0" applyFont="1"/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13" fillId="0" borderId="0" xfId="0" applyFont="1"/>
    <xf numFmtId="0" fontId="7" fillId="0" borderId="17" xfId="0" applyFont="1" applyBorder="1"/>
    <xf numFmtId="0" fontId="13" fillId="0" borderId="18" xfId="0" applyFont="1" applyBorder="1"/>
    <xf numFmtId="9" fontId="13" fillId="0" borderId="19" xfId="1" applyFont="1" applyBorder="1" applyAlignment="1">
      <alignment horizontal="left"/>
    </xf>
    <xf numFmtId="0" fontId="31" fillId="0" borderId="0" xfId="0" applyFont="1"/>
    <xf numFmtId="17" fontId="11" fillId="0" borderId="15" xfId="0" applyNumberFormat="1" applyFont="1" applyBorder="1"/>
    <xf numFmtId="165" fontId="11" fillId="0" borderId="40" xfId="0" applyNumberFormat="1" applyFont="1" applyBorder="1"/>
    <xf numFmtId="174" fontId="0" fillId="0" borderId="0" xfId="0" applyNumberFormat="1"/>
    <xf numFmtId="0" fontId="22" fillId="0" borderId="42" xfId="0" applyFont="1" applyBorder="1"/>
    <xf numFmtId="49" fontId="34" fillId="15" borderId="47" xfId="5" applyNumberFormat="1" applyFont="1" applyFill="1" applyBorder="1" applyAlignment="1">
      <alignment horizontal="center" vertical="center" wrapText="1"/>
    </xf>
    <xf numFmtId="0" fontId="22" fillId="0" borderId="42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 wrapText="1"/>
    </xf>
    <xf numFmtId="17" fontId="22" fillId="0" borderId="42" xfId="0" applyNumberFormat="1" applyFont="1" applyBorder="1"/>
    <xf numFmtId="17" fontId="22" fillId="16" borderId="48" xfId="0" quotePrefix="1" applyNumberFormat="1" applyFont="1" applyFill="1" applyBorder="1" applyAlignment="1">
      <alignment horizontal="center" vertical="center"/>
    </xf>
    <xf numFmtId="44" fontId="22" fillId="16" borderId="49" xfId="0" applyNumberFormat="1" applyFont="1" applyFill="1" applyBorder="1"/>
    <xf numFmtId="44" fontId="22" fillId="16" borderId="50" xfId="0" applyNumberFormat="1" applyFont="1" applyFill="1" applyBorder="1"/>
    <xf numFmtId="44" fontId="22" fillId="16" borderId="50" xfId="2" quotePrefix="1" applyFont="1" applyFill="1" applyBorder="1"/>
    <xf numFmtId="44" fontId="22" fillId="16" borderId="51" xfId="2" applyFont="1" applyFill="1" applyBorder="1"/>
    <xf numFmtId="44" fontId="22" fillId="16" borderId="51" xfId="0" applyNumberFormat="1" applyFont="1" applyFill="1" applyBorder="1"/>
    <xf numFmtId="17" fontId="19" fillId="0" borderId="52" xfId="0" applyNumberFormat="1" applyFont="1" applyBorder="1" applyAlignment="1">
      <alignment horizontal="center" vertical="center"/>
    </xf>
    <xf numFmtId="44" fontId="22" fillId="0" borderId="53" xfId="0" applyNumberFormat="1" applyFont="1" applyBorder="1"/>
    <xf numFmtId="8" fontId="22" fillId="0" borderId="53" xfId="0" applyNumberFormat="1" applyFont="1" applyBorder="1"/>
    <xf numFmtId="0" fontId="32" fillId="0" borderId="0" xfId="0" applyFont="1" applyAlignment="1">
      <alignment horizontal="right"/>
    </xf>
    <xf numFmtId="44" fontId="19" fillId="0" borderId="41" xfId="0" applyNumberFormat="1" applyFont="1" applyBorder="1"/>
    <xf numFmtId="44" fontId="19" fillId="0" borderId="0" xfId="0" applyNumberFormat="1" applyFont="1"/>
    <xf numFmtId="44" fontId="19" fillId="0" borderId="0" xfId="2" quotePrefix="1" applyFont="1" applyBorder="1"/>
    <xf numFmtId="44" fontId="19" fillId="0" borderId="53" xfId="0" applyNumberFormat="1" applyFont="1" applyBorder="1"/>
    <xf numFmtId="0" fontId="32" fillId="0" borderId="0" xfId="0" applyFont="1"/>
    <xf numFmtId="44" fontId="32" fillId="0" borderId="0" xfId="0" applyNumberFormat="1" applyFont="1"/>
    <xf numFmtId="2" fontId="19" fillId="11" borderId="42" xfId="0" applyNumberFormat="1" applyFont="1" applyFill="1" applyBorder="1"/>
    <xf numFmtId="0" fontId="19" fillId="11" borderId="42" xfId="0" applyFont="1" applyFill="1" applyBorder="1"/>
    <xf numFmtId="0" fontId="22" fillId="0" borderId="0" xfId="0" applyFont="1"/>
    <xf numFmtId="8" fontId="13" fillId="0" borderId="53" xfId="0" applyNumberFormat="1" applyFont="1" applyBorder="1"/>
    <xf numFmtId="0" fontId="35" fillId="0" borderId="0" xfId="0" applyFont="1"/>
    <xf numFmtId="17" fontId="19" fillId="0" borderId="56" xfId="0" applyNumberFormat="1" applyFont="1" applyBorder="1" applyAlignment="1">
      <alignment horizontal="center" vertical="center"/>
    </xf>
    <xf numFmtId="44" fontId="19" fillId="0" borderId="43" xfId="0" applyNumberFormat="1" applyFont="1" applyBorder="1"/>
    <xf numFmtId="44" fontId="19" fillId="0" borderId="44" xfId="0" applyNumberFormat="1" applyFont="1" applyBorder="1"/>
    <xf numFmtId="44" fontId="19" fillId="0" borderId="44" xfId="2" quotePrefix="1" applyFont="1" applyBorder="1"/>
    <xf numFmtId="44" fontId="19" fillId="0" borderId="57" xfId="0" applyNumberFormat="1" applyFont="1" applyBorder="1"/>
    <xf numFmtId="17" fontId="19" fillId="0" borderId="0" xfId="0" applyNumberFormat="1" applyFont="1" applyAlignment="1">
      <alignment horizontal="center" vertical="center"/>
    </xf>
    <xf numFmtId="44" fontId="8" fillId="0" borderId="0" xfId="2" quotePrefix="1" applyFont="1" applyBorder="1"/>
    <xf numFmtId="44" fontId="8" fillId="0" borderId="0" xfId="0" applyNumberFormat="1" applyFont="1"/>
    <xf numFmtId="8" fontId="19" fillId="0" borderId="0" xfId="0" applyNumberFormat="1" applyFont="1"/>
    <xf numFmtId="3" fontId="0" fillId="0" borderId="0" xfId="0" applyNumberFormat="1"/>
    <xf numFmtId="44" fontId="28" fillId="0" borderId="53" xfId="0" applyNumberFormat="1" applyFont="1" applyBorder="1"/>
    <xf numFmtId="3" fontId="11" fillId="0" borderId="13" xfId="0" applyNumberFormat="1" applyFont="1" applyBorder="1"/>
    <xf numFmtId="173" fontId="13" fillId="0" borderId="0" xfId="3" applyNumberFormat="1" applyFont="1"/>
    <xf numFmtId="17" fontId="11" fillId="0" borderId="58" xfId="0" applyNumberFormat="1" applyFont="1" applyBorder="1"/>
    <xf numFmtId="17" fontId="7" fillId="7" borderId="13" xfId="0" applyNumberFormat="1" applyFont="1" applyFill="1" applyBorder="1" applyAlignment="1">
      <alignment horizontal="right"/>
    </xf>
    <xf numFmtId="17" fontId="32" fillId="0" borderId="23" xfId="0" applyNumberFormat="1" applyFont="1" applyBorder="1"/>
    <xf numFmtId="44" fontId="11" fillId="0" borderId="0" xfId="2" applyFont="1"/>
    <xf numFmtId="14" fontId="11" fillId="3" borderId="0" xfId="0" applyNumberFormat="1" applyFont="1" applyFill="1" applyAlignment="1">
      <alignment horizontal="center"/>
    </xf>
    <xf numFmtId="17" fontId="11" fillId="0" borderId="0" xfId="0" applyNumberFormat="1" applyFont="1" applyAlignment="1">
      <alignment horizontal="right"/>
    </xf>
    <xf numFmtId="17" fontId="8" fillId="0" borderId="0" xfId="0" applyNumberFormat="1" applyFont="1"/>
    <xf numFmtId="17" fontId="25" fillId="0" borderId="52" xfId="0" applyNumberFormat="1" applyFont="1" applyBorder="1" applyAlignment="1">
      <alignment horizontal="center" vertical="center"/>
    </xf>
    <xf numFmtId="44" fontId="25" fillId="0" borderId="41" xfId="0" applyNumberFormat="1" applyFont="1" applyBorder="1"/>
    <xf numFmtId="44" fontId="25" fillId="0" borderId="0" xfId="0" applyNumberFormat="1" applyFont="1"/>
    <xf numFmtId="44" fontId="25" fillId="0" borderId="0" xfId="2" quotePrefix="1" applyFont="1" applyBorder="1"/>
    <xf numFmtId="44" fontId="25" fillId="0" borderId="53" xfId="0" applyNumberFormat="1" applyFont="1" applyBorder="1"/>
    <xf numFmtId="44" fontId="11" fillId="0" borderId="0" xfId="2" applyFont="1" applyAlignment="1">
      <alignment vertical="top" wrapText="1"/>
    </xf>
    <xf numFmtId="0" fontId="0" fillId="0" borderId="0" xfId="0" applyAlignment="1">
      <alignment vertical="center"/>
    </xf>
    <xf numFmtId="171" fontId="11" fillId="3" borderId="13" xfId="2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172" fontId="15" fillId="0" borderId="59" xfId="3" quotePrefix="1" applyNumberFormat="1" applyFont="1" applyBorder="1" applyAlignment="1">
      <alignment horizontal="right" vertical="center"/>
    </xf>
    <xf numFmtId="17" fontId="10" fillId="0" borderId="14" xfId="0" applyNumberFormat="1" applyFont="1" applyBorder="1" applyAlignment="1">
      <alignment horizontal="right"/>
    </xf>
    <xf numFmtId="172" fontId="15" fillId="0" borderId="14" xfId="3" quotePrefix="1" applyNumberFormat="1" applyFont="1" applyBorder="1" applyAlignment="1">
      <alignment horizontal="right" vertical="center"/>
    </xf>
    <xf numFmtId="17" fontId="15" fillId="0" borderId="14" xfId="0" applyNumberFormat="1" applyFont="1" applyBorder="1"/>
    <xf numFmtId="17" fontId="11" fillId="0" borderId="60" xfId="0" applyNumberFormat="1" applyFont="1" applyBorder="1"/>
    <xf numFmtId="4" fontId="11" fillId="0" borderId="60" xfId="0" applyNumberFormat="1" applyFont="1" applyBorder="1"/>
    <xf numFmtId="0" fontId="11" fillId="0" borderId="60" xfId="0" applyFont="1" applyBorder="1"/>
    <xf numFmtId="165" fontId="11" fillId="0" borderId="60" xfId="0" applyNumberFormat="1" applyFont="1" applyBorder="1"/>
    <xf numFmtId="165" fontId="11" fillId="0" borderId="14" xfId="0" applyNumberFormat="1" applyFont="1" applyBorder="1"/>
    <xf numFmtId="0" fontId="4" fillId="0" borderId="60" xfId="0" applyFont="1" applyBorder="1" applyAlignment="1">
      <alignment horizontal="center" vertical="center"/>
    </xf>
    <xf numFmtId="165" fontId="0" fillId="0" borderId="23" xfId="0" applyNumberFormat="1" applyBorder="1"/>
    <xf numFmtId="0" fontId="37" fillId="0" borderId="0" xfId="0" applyFont="1"/>
    <xf numFmtId="0" fontId="38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7" fillId="17" borderId="13" xfId="0" applyFont="1" applyFill="1" applyBorder="1" applyAlignment="1">
      <alignment horizontal="center" vertical="center" wrapText="1"/>
    </xf>
    <xf numFmtId="0" fontId="7" fillId="15" borderId="13" xfId="0" applyFont="1" applyFill="1" applyBorder="1" applyAlignment="1">
      <alignment vertical="center"/>
    </xf>
    <xf numFmtId="2" fontId="11" fillId="0" borderId="13" xfId="0" applyNumberFormat="1" applyFont="1" applyBorder="1"/>
    <xf numFmtId="2" fontId="25" fillId="11" borderId="42" xfId="0" applyNumberFormat="1" applyFont="1" applyFill="1" applyBorder="1"/>
    <xf numFmtId="17" fontId="8" fillId="0" borderId="23" xfId="3" quotePrefix="1" applyNumberFormat="1" applyFont="1" applyBorder="1" applyAlignment="1">
      <alignment horizontal="right" vertical="center"/>
    </xf>
    <xf numFmtId="165" fontId="0" fillId="0" borderId="13" xfId="0" applyNumberFormat="1" applyBorder="1"/>
    <xf numFmtId="175" fontId="0" fillId="0" borderId="13" xfId="0" applyNumberFormat="1" applyBorder="1"/>
    <xf numFmtId="17" fontId="25" fillId="0" borderId="42" xfId="0" applyNumberFormat="1" applyFont="1" applyBorder="1" applyAlignment="1">
      <alignment horizontal="center" vertical="center"/>
    </xf>
    <xf numFmtId="44" fontId="25" fillId="0" borderId="0" xfId="2" quotePrefix="1" applyFont="1" applyFill="1" applyBorder="1"/>
    <xf numFmtId="17" fontId="25" fillId="0" borderId="42" xfId="0" applyNumberFormat="1" applyFont="1" applyBorder="1"/>
    <xf numFmtId="0" fontId="25" fillId="11" borderId="42" xfId="0" applyFont="1" applyFill="1" applyBorder="1"/>
    <xf numFmtId="4" fontId="25" fillId="11" borderId="42" xfId="0" applyNumberFormat="1" applyFont="1" applyFill="1" applyBorder="1"/>
    <xf numFmtId="17" fontId="25" fillId="0" borderId="42" xfId="0" quotePrefix="1" applyNumberFormat="1" applyFont="1" applyBorder="1" applyAlignment="1">
      <alignment horizontal="right"/>
    </xf>
    <xf numFmtId="2" fontId="25" fillId="0" borderId="42" xfId="0" applyNumberFormat="1" applyFont="1" applyBorder="1"/>
    <xf numFmtId="176" fontId="11" fillId="0" borderId="13" xfId="0" applyNumberFormat="1" applyFont="1" applyBorder="1"/>
    <xf numFmtId="176" fontId="11" fillId="0" borderId="40" xfId="0" applyNumberFormat="1" applyFont="1" applyBorder="1"/>
    <xf numFmtId="43" fontId="0" fillId="0" borderId="23" xfId="3" applyFont="1" applyBorder="1"/>
    <xf numFmtId="43" fontId="11" fillId="0" borderId="60" xfId="3" applyFont="1" applyBorder="1"/>
    <xf numFmtId="43" fontId="11" fillId="0" borderId="14" xfId="3" applyFont="1" applyBorder="1"/>
    <xf numFmtId="17" fontId="8" fillId="0" borderId="52" xfId="0" applyNumberFormat="1" applyFont="1" applyBorder="1" applyAlignment="1">
      <alignment horizontal="center" vertical="center"/>
    </xf>
    <xf numFmtId="44" fontId="8" fillId="0" borderId="41" xfId="0" applyNumberFormat="1" applyFont="1" applyBorder="1"/>
    <xf numFmtId="44" fontId="8" fillId="0" borderId="53" xfId="0" applyNumberFormat="1" applyFont="1" applyBorder="1"/>
    <xf numFmtId="0" fontId="8" fillId="0" borderId="0" xfId="0" applyFont="1"/>
    <xf numFmtId="4" fontId="11" fillId="0" borderId="14" xfId="0" applyNumberFormat="1" applyFont="1" applyBorder="1"/>
    <xf numFmtId="43" fontId="11" fillId="0" borderId="13" xfId="3" applyFont="1" applyBorder="1"/>
    <xf numFmtId="17" fontId="11" fillId="11" borderId="13" xfId="0" applyNumberFormat="1" applyFont="1" applyFill="1" applyBorder="1"/>
    <xf numFmtId="0" fontId="11" fillId="11" borderId="13" xfId="0" applyFont="1" applyFill="1" applyBorder="1"/>
    <xf numFmtId="14" fontId="11" fillId="11" borderId="13" xfId="0" applyNumberFormat="1" applyFont="1" applyFill="1" applyBorder="1"/>
    <xf numFmtId="8" fontId="11" fillId="11" borderId="13" xfId="0" applyNumberFormat="1" applyFont="1" applyFill="1" applyBorder="1"/>
    <xf numFmtId="44" fontId="11" fillId="11" borderId="13" xfId="0" applyNumberFormat="1" applyFont="1" applyFill="1" applyBorder="1"/>
    <xf numFmtId="166" fontId="0" fillId="3" borderId="13" xfId="0" applyNumberFormat="1" applyFill="1" applyBorder="1"/>
    <xf numFmtId="17" fontId="28" fillId="0" borderId="13" xfId="0" applyNumberFormat="1" applyFont="1" applyBorder="1"/>
    <xf numFmtId="172" fontId="0" fillId="0" borderId="0" xfId="0" applyNumberFormat="1"/>
    <xf numFmtId="172" fontId="7" fillId="15" borderId="13" xfId="0" applyNumberFormat="1" applyFont="1" applyFill="1" applyBorder="1" applyAlignment="1">
      <alignment horizontal="center" vertical="center" wrapText="1"/>
    </xf>
    <xf numFmtId="172" fontId="11" fillId="0" borderId="13" xfId="0" applyNumberFormat="1" applyFont="1" applyBorder="1"/>
    <xf numFmtId="172" fontId="7" fillId="7" borderId="13" xfId="0" applyNumberFormat="1" applyFont="1" applyFill="1" applyBorder="1" applyAlignment="1">
      <alignment horizontal="right"/>
    </xf>
    <xf numFmtId="172" fontId="8" fillId="0" borderId="0" xfId="0" applyNumberFormat="1" applyFont="1"/>
    <xf numFmtId="8" fontId="0" fillId="11" borderId="0" xfId="0" applyNumberFormat="1" applyFill="1"/>
    <xf numFmtId="8" fontId="11" fillId="11" borderId="13" xfId="2" applyNumberFormat="1" applyFont="1" applyFill="1" applyBorder="1"/>
    <xf numFmtId="44" fontId="10" fillId="3" borderId="13" xfId="2" applyFont="1" applyFill="1" applyBorder="1" applyAlignment="1">
      <alignment horizontal="center"/>
    </xf>
    <xf numFmtId="176" fontId="40" fillId="0" borderId="23" xfId="0" applyNumberFormat="1" applyFont="1" applyBorder="1" applyAlignment="1">
      <alignment horizontal="center"/>
    </xf>
    <xf numFmtId="176" fontId="40" fillId="0" borderId="23" xfId="0" applyNumberFormat="1" applyFont="1" applyBorder="1" applyAlignment="1">
      <alignment horizontal="center" vertical="center"/>
    </xf>
    <xf numFmtId="44" fontId="11" fillId="0" borderId="13" xfId="0" applyNumberFormat="1" applyFont="1" applyBorder="1"/>
    <xf numFmtId="0" fontId="11" fillId="11" borderId="13" xfId="0" applyFont="1" applyFill="1" applyBorder="1" applyAlignment="1">
      <alignment horizontal="center" wrapText="1"/>
    </xf>
    <xf numFmtId="10" fontId="11" fillId="11" borderId="13" xfId="1" applyNumberFormat="1" applyFont="1" applyFill="1" applyBorder="1"/>
    <xf numFmtId="0" fontId="0" fillId="11" borderId="0" xfId="0" applyFill="1"/>
    <xf numFmtId="44" fontId="8" fillId="11" borderId="13" xfId="2" applyFont="1" applyFill="1" applyBorder="1"/>
    <xf numFmtId="44" fontId="11" fillId="11" borderId="13" xfId="2" applyFont="1" applyFill="1" applyBorder="1"/>
    <xf numFmtId="43" fontId="0" fillId="11" borderId="0" xfId="3" applyFont="1" applyFill="1"/>
    <xf numFmtId="43" fontId="0" fillId="11" borderId="0" xfId="0" applyNumberFormat="1" applyFill="1"/>
    <xf numFmtId="44" fontId="0" fillId="11" borderId="0" xfId="2" applyFont="1" applyFill="1"/>
    <xf numFmtId="44" fontId="11" fillId="11" borderId="0" xfId="2" applyFont="1" applyFill="1" applyAlignment="1">
      <alignment vertical="top" wrapText="1"/>
    </xf>
    <xf numFmtId="17" fontId="11" fillId="11" borderId="0" xfId="0" applyNumberFormat="1" applyFont="1" applyFill="1" applyAlignment="1">
      <alignment horizontal="right"/>
    </xf>
    <xf numFmtId="17" fontId="8" fillId="11" borderId="0" xfId="0" applyNumberFormat="1" applyFont="1" applyFill="1"/>
    <xf numFmtId="43" fontId="0" fillId="0" borderId="0" xfId="3" applyFont="1"/>
    <xf numFmtId="176" fontId="6" fillId="0" borderId="31" xfId="0" applyNumberFormat="1" applyFont="1" applyBorder="1" applyAlignment="1">
      <alignment horizontal="center" vertical="center"/>
    </xf>
    <xf numFmtId="176" fontId="0" fillId="0" borderId="31" xfId="0" applyNumberFormat="1" applyBorder="1" applyAlignment="1">
      <alignment vertical="center"/>
    </xf>
    <xf numFmtId="0" fontId="23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7" fillId="15" borderId="13" xfId="0" applyFont="1" applyFill="1" applyBorder="1" applyAlignment="1">
      <alignment horizontal="center" vertical="center"/>
    </xf>
    <xf numFmtId="0" fontId="7" fillId="7" borderId="13" xfId="0" applyFont="1" applyFill="1" applyBorder="1" applyAlignment="1">
      <alignment horizontal="center" vertical="center"/>
    </xf>
    <xf numFmtId="0" fontId="14" fillId="13" borderId="0" xfId="0" applyFont="1" applyFill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7" fillId="15" borderId="0" xfId="0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0" fontId="21" fillId="14" borderId="0" xfId="0" applyFont="1" applyFill="1" applyAlignment="1">
      <alignment horizontal="center" vertical="center"/>
    </xf>
    <xf numFmtId="0" fontId="10" fillId="0" borderId="13" xfId="0" applyFont="1" applyBorder="1" applyAlignment="1">
      <alignment horizontal="center"/>
    </xf>
    <xf numFmtId="0" fontId="7" fillId="10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7" fontId="11" fillId="0" borderId="36" xfId="0" applyNumberFormat="1" applyFont="1" applyBorder="1" applyAlignment="1">
      <alignment horizontal="center"/>
    </xf>
    <xf numFmtId="17" fontId="11" fillId="0" borderId="37" xfId="0" applyNumberFormat="1" applyFont="1" applyBorder="1" applyAlignment="1">
      <alignment horizontal="center"/>
    </xf>
    <xf numFmtId="0" fontId="24" fillId="0" borderId="20" xfId="0" applyFont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22" xfId="0" applyFont="1" applyBorder="1" applyAlignment="1">
      <alignment horizontal="center"/>
    </xf>
    <xf numFmtId="0" fontId="26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0" fontId="7" fillId="15" borderId="8" xfId="0" applyFont="1" applyFill="1" applyBorder="1" applyAlignment="1">
      <alignment horizontal="center" vertical="center" wrapText="1"/>
    </xf>
    <xf numFmtId="0" fontId="7" fillId="15" borderId="9" xfId="0" applyFont="1" applyFill="1" applyBorder="1" applyAlignment="1">
      <alignment horizontal="center" vertical="center" wrapText="1"/>
    </xf>
    <xf numFmtId="0" fontId="7" fillId="15" borderId="10" xfId="0" applyFont="1" applyFill="1" applyBorder="1" applyAlignment="1">
      <alignment horizontal="center" vertical="center" wrapText="1"/>
    </xf>
    <xf numFmtId="176" fontId="0" fillId="0" borderId="25" xfId="0" applyNumberFormat="1" applyBorder="1" applyAlignment="1">
      <alignment horizontal="center" vertical="center"/>
    </xf>
    <xf numFmtId="176" fontId="0" fillId="0" borderId="26" xfId="0" applyNumberForma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9" fontId="0" fillId="0" borderId="25" xfId="1" applyFont="1" applyBorder="1" applyAlignment="1">
      <alignment horizontal="center" vertical="center"/>
    </xf>
    <xf numFmtId="9" fontId="0" fillId="0" borderId="26" xfId="1" applyFont="1" applyBorder="1" applyAlignment="1">
      <alignment horizontal="center" vertical="center"/>
    </xf>
    <xf numFmtId="9" fontId="0" fillId="0" borderId="25" xfId="1" applyFont="1" applyFill="1" applyBorder="1" applyAlignment="1">
      <alignment horizontal="center" vertical="center"/>
    </xf>
    <xf numFmtId="9" fontId="0" fillId="0" borderId="26" xfId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8" fillId="0" borderId="7" xfId="0" applyNumberFormat="1" applyFont="1" applyBorder="1" applyAlignment="1">
      <alignment horizontal="left" wrapText="1"/>
    </xf>
    <xf numFmtId="0" fontId="0" fillId="2" borderId="36" xfId="0" applyFill="1" applyBorder="1" applyAlignment="1">
      <alignment vertical="center" wrapText="1"/>
    </xf>
    <xf numFmtId="0" fontId="0" fillId="2" borderId="37" xfId="0" applyFill="1" applyBorder="1" applyAlignment="1">
      <alignment vertical="center" wrapText="1"/>
    </xf>
    <xf numFmtId="0" fontId="26" fillId="11" borderId="0" xfId="0" applyFont="1" applyFill="1" applyAlignment="1">
      <alignment horizontal="center" vertical="center" wrapText="1"/>
    </xf>
    <xf numFmtId="0" fontId="7" fillId="15" borderId="12" xfId="0" applyFont="1" applyFill="1" applyBorder="1" applyAlignment="1">
      <alignment vertical="center" wrapText="1"/>
    </xf>
    <xf numFmtId="0" fontId="7" fillId="15" borderId="0" xfId="0" applyFont="1" applyFill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0" fillId="14" borderId="0" xfId="0" applyFill="1" applyAlignment="1">
      <alignment horizontal="left" vertical="top" wrapText="1"/>
    </xf>
    <xf numFmtId="0" fontId="27" fillId="0" borderId="0" xfId="0" applyFont="1" applyAlignment="1">
      <alignment horizontal="center" vertical="center"/>
    </xf>
    <xf numFmtId="0" fontId="7" fillId="15" borderId="38" xfId="0" applyFont="1" applyFill="1" applyBorder="1" applyAlignment="1">
      <alignment horizontal="center" vertical="center"/>
    </xf>
    <xf numFmtId="0" fontId="7" fillId="15" borderId="39" xfId="0" applyFont="1" applyFill="1" applyBorder="1" applyAlignment="1">
      <alignment horizontal="center" vertical="center"/>
    </xf>
    <xf numFmtId="0" fontId="7" fillId="15" borderId="4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7" fillId="15" borderId="41" xfId="0" applyFont="1" applyFill="1" applyBorder="1" applyAlignment="1">
      <alignment horizontal="center"/>
    </xf>
    <xf numFmtId="0" fontId="7" fillId="15" borderId="0" xfId="0" applyFont="1" applyFill="1" applyAlignment="1">
      <alignment horizontal="center"/>
    </xf>
    <xf numFmtId="0" fontId="22" fillId="0" borderId="43" xfId="0" applyFont="1" applyBorder="1" applyAlignment="1">
      <alignment horizontal="center" vertical="center" wrapText="1"/>
    </xf>
    <xf numFmtId="0" fontId="22" fillId="0" borderId="44" xfId="0" applyFont="1" applyBorder="1" applyAlignment="1">
      <alignment horizontal="center" vertical="center" wrapText="1"/>
    </xf>
    <xf numFmtId="49" fontId="34" fillId="15" borderId="45" xfId="5" applyNumberFormat="1" applyFont="1" applyFill="1" applyBorder="1" applyAlignment="1">
      <alignment horizontal="center" vertical="center" wrapText="1"/>
    </xf>
    <xf numFmtId="49" fontId="34" fillId="15" borderId="46" xfId="5" applyNumberFormat="1" applyFont="1" applyFill="1" applyBorder="1" applyAlignment="1">
      <alignment horizontal="center" vertical="center" wrapText="1"/>
    </xf>
    <xf numFmtId="17" fontId="25" fillId="0" borderId="54" xfId="0" applyNumberFormat="1" applyFont="1" applyBorder="1" applyAlignment="1">
      <alignment horizontal="center"/>
    </xf>
    <xf numFmtId="17" fontId="25" fillId="0" borderId="55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</cellXfs>
  <cellStyles count="10">
    <cellStyle name="Moeda" xfId="2" builtinId="4"/>
    <cellStyle name="Moeda 2" xfId="4" xr:uid="{00000000-0005-0000-0000-000001000000}"/>
    <cellStyle name="Normal" xfId="0" builtinId="0"/>
    <cellStyle name="Normal 2" xfId="6" xr:uid="{BC95D651-6946-4852-897A-BC62B6DC3F48}"/>
    <cellStyle name="Normal 2 2" xfId="5" xr:uid="{00000000-0005-0000-0000-000003000000}"/>
    <cellStyle name="Normal 3" xfId="7" xr:uid="{E92BC9A4-B3BF-4C38-ACAE-A51089D5B5C5}"/>
    <cellStyle name="Normal 4" xfId="9" xr:uid="{3DF68208-1F57-4D49-AB8F-1929A1913DFA}"/>
    <cellStyle name="Porcentagem" xfId="1" builtinId="5"/>
    <cellStyle name="Vírgula" xfId="3" builtinId="3"/>
    <cellStyle name="Vírgula 2" xfId="8" xr:uid="{C1780EA3-1F93-4AD9-AB8E-51949388B979}"/>
  </cellStyles>
  <dxfs count="0"/>
  <tableStyles count="0" defaultTableStyle="TableStyleMedium2" defaultPivotStyle="PivotStyleLight16"/>
  <colors>
    <mruColors>
      <color rgb="FF06038D"/>
      <color rgb="FF000C4C"/>
      <color rgb="FF08296C"/>
      <color rgb="FFFFCB05"/>
      <color rgb="FFB8DDE1"/>
      <color rgb="FF00FFFF"/>
      <color rgb="FF00B1EB"/>
      <color rgb="FF0E2050"/>
      <color rgb="FFF99D33"/>
      <color rgb="FFEF41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png"/><Relationship Id="rId3" Type="http://schemas.openxmlformats.org/officeDocument/2006/relationships/image" Target="../media/image8.png"/><Relationship Id="rId21" Type="http://schemas.openxmlformats.org/officeDocument/2006/relationships/image" Target="../media/image4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2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133350</xdr:rowOff>
    </xdr:from>
    <xdr:to>
      <xdr:col>2</xdr:col>
      <xdr:colOff>514350</xdr:colOff>
      <xdr:row>3</xdr:row>
      <xdr:rowOff>16638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52942A4-9129-43AB-AD85-849DD5005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133350"/>
          <a:ext cx="1381125" cy="2642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133350</xdr:rowOff>
    </xdr:from>
    <xdr:to>
      <xdr:col>3</xdr:col>
      <xdr:colOff>304800</xdr:colOff>
      <xdr:row>2</xdr:row>
      <xdr:rowOff>16638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FC9C53A-40F6-4D7B-ACE2-D836D2A3F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133350"/>
          <a:ext cx="1381125" cy="26428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</xdr:row>
      <xdr:rowOff>0</xdr:rowOff>
    </xdr:from>
    <xdr:to>
      <xdr:col>2</xdr:col>
      <xdr:colOff>390525</xdr:colOff>
      <xdr:row>2</xdr:row>
      <xdr:rowOff>73788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2659EDC-35EF-4940-9D25-8C3DC92B0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5" y="190500"/>
          <a:ext cx="1381125" cy="26428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152400</xdr:rowOff>
    </xdr:from>
    <xdr:to>
      <xdr:col>2</xdr:col>
      <xdr:colOff>942975</xdr:colOff>
      <xdr:row>2</xdr:row>
      <xdr:rowOff>35688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C4CC570-9D4D-4F88-A3C4-717C9ADD7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152400"/>
          <a:ext cx="1381125" cy="26428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38100</xdr:rowOff>
    </xdr:from>
    <xdr:to>
      <xdr:col>2</xdr:col>
      <xdr:colOff>635000</xdr:colOff>
      <xdr:row>2</xdr:row>
      <xdr:rowOff>111888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12921C0-CCF2-402E-9882-A3D2C7BA7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228600"/>
          <a:ext cx="1381125" cy="264288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112059</xdr:colOff>
      <xdr:row>67</xdr:row>
      <xdr:rowOff>52855</xdr:rowOff>
    </xdr:from>
    <xdr:to>
      <xdr:col>14</xdr:col>
      <xdr:colOff>1069254</xdr:colOff>
      <xdr:row>81</xdr:row>
      <xdr:rowOff>115234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8D49D9F-12EB-164B-0CCC-BA149937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28059" y="11606120"/>
          <a:ext cx="3175960" cy="25724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7</xdr:col>
      <xdr:colOff>45891</xdr:colOff>
      <xdr:row>47</xdr:row>
      <xdr:rowOff>130835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E837B4A6-3F14-4E05-852F-3C534F65D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4908176"/>
          <a:ext cx="8277359" cy="336933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367391</xdr:colOff>
      <xdr:row>1</xdr:row>
      <xdr:rowOff>255360</xdr:rowOff>
    </xdr:from>
    <xdr:to>
      <xdr:col>2</xdr:col>
      <xdr:colOff>572238</xdr:colOff>
      <xdr:row>2</xdr:row>
      <xdr:rowOff>125639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6BE0BA0-1A8B-4809-B145-81C476350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0566" y="439510"/>
          <a:ext cx="1946561" cy="34970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1190625</xdr:colOff>
      <xdr:row>50</xdr:row>
      <xdr:rowOff>83343</xdr:rowOff>
    </xdr:from>
    <xdr:to>
      <xdr:col>7</xdr:col>
      <xdr:colOff>1565216</xdr:colOff>
      <xdr:row>72</xdr:row>
      <xdr:rowOff>64875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D3BCC2A-FEE8-4B45-A9E7-A3B7324C4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9779793"/>
          <a:ext cx="5270441" cy="4172532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</xdr:colOff>
      <xdr:row>1</xdr:row>
      <xdr:rowOff>47625</xdr:rowOff>
    </xdr:from>
    <xdr:to>
      <xdr:col>2</xdr:col>
      <xdr:colOff>64293</xdr:colOff>
      <xdr:row>3</xdr:row>
      <xdr:rowOff>48916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DE19303-1570-4F0E-83C0-823E0683E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943" y="238125"/>
          <a:ext cx="1219200" cy="382291"/>
        </a:xfrm>
        <a:prstGeom prst="rect">
          <a:avLst/>
        </a:prstGeom>
      </xdr:spPr>
    </xdr:pic>
    <xdr:clientData/>
  </xdr:twoCellAnchor>
  <xdr:twoCellAnchor editAs="oneCell">
    <xdr:from>
      <xdr:col>8</xdr:col>
      <xdr:colOff>809625</xdr:colOff>
      <xdr:row>51</xdr:row>
      <xdr:rowOff>107156</xdr:rowOff>
    </xdr:from>
    <xdr:to>
      <xdr:col>11</xdr:col>
      <xdr:colOff>474276</xdr:colOff>
      <xdr:row>67</xdr:row>
      <xdr:rowOff>136160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914B9C2-A7D7-53EC-C321-0AF8C5B51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34750" y="9989344"/>
          <a:ext cx="3743847" cy="3077004"/>
        </a:xfrm>
        <a:prstGeom prst="rect">
          <a:avLst/>
        </a:prstGeom>
      </xdr:spPr>
    </xdr:pic>
    <xdr:clientData/>
  </xdr:twoCellAnchor>
  <xdr:twoCellAnchor editAs="oneCell">
    <xdr:from>
      <xdr:col>11</xdr:col>
      <xdr:colOff>928687</xdr:colOff>
      <xdr:row>51</xdr:row>
      <xdr:rowOff>166687</xdr:rowOff>
    </xdr:from>
    <xdr:to>
      <xdr:col>17</xdr:col>
      <xdr:colOff>161344</xdr:colOff>
      <xdr:row>68</xdr:row>
      <xdr:rowOff>69616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78B4424-C6E2-C626-B8B7-48D37B007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35250" y="10048875"/>
          <a:ext cx="3641371" cy="3141429"/>
        </a:xfrm>
        <a:prstGeom prst="rect">
          <a:avLst/>
        </a:prstGeom>
      </xdr:spPr>
    </xdr:pic>
    <xdr:clientData/>
  </xdr:twoCellAnchor>
  <xdr:twoCellAnchor editAs="oneCell">
    <xdr:from>
      <xdr:col>4</xdr:col>
      <xdr:colOff>2047875</xdr:colOff>
      <xdr:row>71</xdr:row>
      <xdr:rowOff>119063</xdr:rowOff>
    </xdr:from>
    <xdr:to>
      <xdr:col>7</xdr:col>
      <xdr:colOff>812063</xdr:colOff>
      <xdr:row>84</xdr:row>
      <xdr:rowOff>49548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74843C2-1A19-0F45-6680-CA3EA4FAF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36531" y="13811251"/>
          <a:ext cx="3658111" cy="2400635"/>
        </a:xfrm>
        <a:prstGeom prst="rect">
          <a:avLst/>
        </a:prstGeom>
      </xdr:spPr>
    </xdr:pic>
    <xdr:clientData/>
  </xdr:twoCellAnchor>
  <xdr:twoCellAnchor editAs="oneCell">
    <xdr:from>
      <xdr:col>8</xdr:col>
      <xdr:colOff>607218</xdr:colOff>
      <xdr:row>70</xdr:row>
      <xdr:rowOff>11906</xdr:rowOff>
    </xdr:from>
    <xdr:to>
      <xdr:col>11</xdr:col>
      <xdr:colOff>617994</xdr:colOff>
      <xdr:row>90</xdr:row>
      <xdr:rowOff>79122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112A8E6C-4FCC-8C11-D3E5-879A19CBD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32343" y="13513594"/>
          <a:ext cx="4096322" cy="3877216"/>
        </a:xfrm>
        <a:prstGeom prst="rect">
          <a:avLst/>
        </a:prstGeom>
      </xdr:spPr>
    </xdr:pic>
    <xdr:clientData/>
  </xdr:twoCellAnchor>
  <xdr:twoCellAnchor editAs="oneCell">
    <xdr:from>
      <xdr:col>4</xdr:col>
      <xdr:colOff>1945822</xdr:colOff>
      <xdr:row>92</xdr:row>
      <xdr:rowOff>163286</xdr:rowOff>
    </xdr:from>
    <xdr:to>
      <xdr:col>8</xdr:col>
      <xdr:colOff>350325</xdr:colOff>
      <xdr:row>109</xdr:row>
      <xdr:rowOff>87993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65D10886-CBC2-FF50-A9C1-98461BA8B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13072" y="16655143"/>
          <a:ext cx="5840353" cy="2925536"/>
        </a:xfrm>
        <a:prstGeom prst="rect">
          <a:avLst/>
        </a:prstGeom>
      </xdr:spPr>
    </xdr:pic>
    <xdr:clientData/>
  </xdr:twoCellAnchor>
  <xdr:twoCellAnchor editAs="oneCell">
    <xdr:from>
      <xdr:col>9</xdr:col>
      <xdr:colOff>154214</xdr:colOff>
      <xdr:row>92</xdr:row>
      <xdr:rowOff>81643</xdr:rowOff>
    </xdr:from>
    <xdr:to>
      <xdr:col>17</xdr:col>
      <xdr:colOff>30743</xdr:colOff>
      <xdr:row>110</xdr:row>
      <xdr:rowOff>143067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ACF4D4A-7316-408A-5BEF-50F8F3C95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754428" y="16981714"/>
          <a:ext cx="7236179" cy="3320789"/>
        </a:xfrm>
        <a:prstGeom prst="rect">
          <a:avLst/>
        </a:prstGeom>
      </xdr:spPr>
    </xdr:pic>
    <xdr:clientData/>
  </xdr:twoCellAnchor>
  <xdr:twoCellAnchor editAs="oneCell">
    <xdr:from>
      <xdr:col>4</xdr:col>
      <xdr:colOff>1755322</xdr:colOff>
      <xdr:row>111</xdr:row>
      <xdr:rowOff>54429</xdr:rowOff>
    </xdr:from>
    <xdr:to>
      <xdr:col>7</xdr:col>
      <xdr:colOff>923588</xdr:colOff>
      <xdr:row>130</xdr:row>
      <xdr:rowOff>1858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32228E2-2960-A11F-40ED-298DC2287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5679" y="21363215"/>
          <a:ext cx="4086795" cy="356284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113</xdr:row>
      <xdr:rowOff>0</xdr:rowOff>
    </xdr:from>
    <xdr:to>
      <xdr:col>11</xdr:col>
      <xdr:colOff>960262</xdr:colOff>
      <xdr:row>126</xdr:row>
      <xdr:rowOff>143241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75E9499E-D9EE-95BB-1B2E-8A8F16FDA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42321" y="21689786"/>
          <a:ext cx="3620005" cy="2619741"/>
        </a:xfrm>
        <a:prstGeom prst="rect">
          <a:avLst/>
        </a:prstGeom>
      </xdr:spPr>
    </xdr:pic>
    <xdr:clientData/>
  </xdr:twoCellAnchor>
  <xdr:twoCellAnchor editAs="oneCell">
    <xdr:from>
      <xdr:col>4</xdr:col>
      <xdr:colOff>1660072</xdr:colOff>
      <xdr:row>130</xdr:row>
      <xdr:rowOff>149679</xdr:rowOff>
    </xdr:from>
    <xdr:to>
      <xdr:col>7</xdr:col>
      <xdr:colOff>523496</xdr:colOff>
      <xdr:row>145</xdr:row>
      <xdr:rowOff>1739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8219A170-CE06-ABD2-27EE-C7AB4F195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50429" y="25077965"/>
          <a:ext cx="3781953" cy="2705478"/>
        </a:xfrm>
        <a:prstGeom prst="rect">
          <a:avLst/>
        </a:prstGeom>
      </xdr:spPr>
    </xdr:pic>
    <xdr:clientData/>
  </xdr:twoCellAnchor>
  <xdr:twoCellAnchor editAs="oneCell">
    <xdr:from>
      <xdr:col>7</xdr:col>
      <xdr:colOff>1551214</xdr:colOff>
      <xdr:row>129</xdr:row>
      <xdr:rowOff>172511</xdr:rowOff>
    </xdr:from>
    <xdr:to>
      <xdr:col>10</xdr:col>
      <xdr:colOff>0</xdr:colOff>
      <xdr:row>145</xdr:row>
      <xdr:rowOff>83487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C59401F-512C-FBC7-3792-0071D32E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53750" y="24910297"/>
          <a:ext cx="3456214" cy="295897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131</xdr:row>
      <xdr:rowOff>0</xdr:rowOff>
    </xdr:from>
    <xdr:to>
      <xdr:col>15</xdr:col>
      <xdr:colOff>38624</xdr:colOff>
      <xdr:row>145</xdr:row>
      <xdr:rowOff>86109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BA367EC5-27FB-469D-7F54-DF92195D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409964" y="25118786"/>
          <a:ext cx="3753374" cy="2753109"/>
        </a:xfrm>
        <a:prstGeom prst="rect">
          <a:avLst/>
        </a:prstGeom>
      </xdr:spPr>
    </xdr:pic>
    <xdr:clientData/>
  </xdr:twoCellAnchor>
  <xdr:twoCellAnchor editAs="oneCell">
    <xdr:from>
      <xdr:col>4</xdr:col>
      <xdr:colOff>1641928</xdr:colOff>
      <xdr:row>145</xdr:row>
      <xdr:rowOff>108856</xdr:rowOff>
    </xdr:from>
    <xdr:to>
      <xdr:col>7</xdr:col>
      <xdr:colOff>388801</xdr:colOff>
      <xdr:row>165</xdr:row>
      <xdr:rowOff>84413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2B6B1D3D-777F-76A6-04AD-24C3701CB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313714" y="26624642"/>
          <a:ext cx="3896269" cy="3600953"/>
        </a:xfrm>
        <a:prstGeom prst="rect">
          <a:avLst/>
        </a:prstGeom>
      </xdr:spPr>
    </xdr:pic>
    <xdr:clientData/>
  </xdr:twoCellAnchor>
  <xdr:twoCellAnchor editAs="oneCell">
    <xdr:from>
      <xdr:col>7</xdr:col>
      <xdr:colOff>559252</xdr:colOff>
      <xdr:row>146</xdr:row>
      <xdr:rowOff>119600</xdr:rowOff>
    </xdr:from>
    <xdr:to>
      <xdr:col>14</xdr:col>
      <xdr:colOff>769257</xdr:colOff>
      <xdr:row>168</xdr:row>
      <xdr:rowOff>45357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30D8779D-7815-0554-691A-A8997054A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383609" y="26163671"/>
          <a:ext cx="8162927" cy="3817400"/>
        </a:xfrm>
        <a:prstGeom prst="rect">
          <a:avLst/>
        </a:prstGeom>
      </xdr:spPr>
    </xdr:pic>
    <xdr:clientData/>
  </xdr:twoCellAnchor>
  <xdr:twoCellAnchor editAs="oneCell">
    <xdr:from>
      <xdr:col>4</xdr:col>
      <xdr:colOff>1303112</xdr:colOff>
      <xdr:row>170</xdr:row>
      <xdr:rowOff>1</xdr:rowOff>
    </xdr:from>
    <xdr:to>
      <xdr:col>8</xdr:col>
      <xdr:colOff>902665</xdr:colOff>
      <xdr:row>187</xdr:row>
      <xdr:rowOff>87991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45343DDA-2045-BC28-6F47-45016E938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970362" y="30289501"/>
          <a:ext cx="7056267" cy="3088819"/>
        </a:xfrm>
        <a:prstGeom prst="rect">
          <a:avLst/>
        </a:prstGeom>
      </xdr:spPr>
    </xdr:pic>
    <xdr:clientData/>
  </xdr:twoCellAnchor>
  <xdr:twoCellAnchor editAs="oneCell">
    <xdr:from>
      <xdr:col>9</xdr:col>
      <xdr:colOff>707571</xdr:colOff>
      <xdr:row>171</xdr:row>
      <xdr:rowOff>81642</xdr:rowOff>
    </xdr:from>
    <xdr:to>
      <xdr:col>14</xdr:col>
      <xdr:colOff>364217</xdr:colOff>
      <xdr:row>191</xdr:row>
      <xdr:rowOff>69469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6256510C-EA90-0163-2C44-229884C6C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328321" y="30548035"/>
          <a:ext cx="3806825" cy="3525684"/>
        </a:xfrm>
        <a:prstGeom prst="rect">
          <a:avLst/>
        </a:prstGeom>
      </xdr:spPr>
    </xdr:pic>
    <xdr:clientData/>
  </xdr:twoCellAnchor>
  <xdr:twoCellAnchor editAs="oneCell">
    <xdr:from>
      <xdr:col>4</xdr:col>
      <xdr:colOff>1197429</xdr:colOff>
      <xdr:row>189</xdr:row>
      <xdr:rowOff>160110</xdr:rowOff>
    </xdr:from>
    <xdr:to>
      <xdr:col>7</xdr:col>
      <xdr:colOff>515548</xdr:colOff>
      <xdr:row>213</xdr:row>
      <xdr:rowOff>105100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1B1133EC-BAC8-D3AB-9752-CB474B64C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64679" y="33810574"/>
          <a:ext cx="4475226" cy="4190419"/>
        </a:xfrm>
        <a:prstGeom prst="rect">
          <a:avLst/>
        </a:prstGeom>
      </xdr:spPr>
    </xdr:pic>
    <xdr:clientData/>
  </xdr:twoCellAnchor>
  <xdr:twoCellAnchor editAs="oneCell">
    <xdr:from>
      <xdr:col>7</xdr:col>
      <xdr:colOff>1793876</xdr:colOff>
      <xdr:row>191</xdr:row>
      <xdr:rowOff>1</xdr:rowOff>
    </xdr:from>
    <xdr:to>
      <xdr:col>10</xdr:col>
      <xdr:colOff>1048881</xdr:colOff>
      <xdr:row>210</xdr:row>
      <xdr:rowOff>123826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5BD1E8D2-46E5-0337-108A-AE667934E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620501" y="36544251"/>
          <a:ext cx="4477880" cy="3746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357909</xdr:colOff>
      <xdr:row>191</xdr:row>
      <xdr:rowOff>184726</xdr:rowOff>
    </xdr:from>
    <xdr:to>
      <xdr:col>17</xdr:col>
      <xdr:colOff>417434</xdr:colOff>
      <xdr:row>212</xdr:row>
      <xdr:rowOff>69272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BA70E4A3-DE0F-5AEF-6E91-A530E8853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6752454" y="35663908"/>
          <a:ext cx="4643071" cy="3763819"/>
        </a:xfrm>
        <a:prstGeom prst="rect">
          <a:avLst/>
        </a:prstGeom>
      </xdr:spPr>
    </xdr:pic>
    <xdr:clientData/>
  </xdr:twoCellAnchor>
  <xdr:twoCellAnchor editAs="oneCell">
    <xdr:from>
      <xdr:col>4</xdr:col>
      <xdr:colOff>1570182</xdr:colOff>
      <xdr:row>217</xdr:row>
      <xdr:rowOff>161637</xdr:rowOff>
    </xdr:from>
    <xdr:to>
      <xdr:col>9</xdr:col>
      <xdr:colOff>897216</xdr:colOff>
      <xdr:row>236</xdr:row>
      <xdr:rowOff>173182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FDDD44BE-55AB-E970-B58D-54C55434B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34546" y="40443728"/>
          <a:ext cx="8286306" cy="3521363"/>
        </a:xfrm>
        <a:prstGeom prst="rect">
          <a:avLst/>
        </a:prstGeom>
      </xdr:spPr>
    </xdr:pic>
    <xdr:clientData/>
  </xdr:twoCellAnchor>
  <xdr:twoCellAnchor editAs="oneCell">
    <xdr:from>
      <xdr:col>9</xdr:col>
      <xdr:colOff>1093047</xdr:colOff>
      <xdr:row>217</xdr:row>
      <xdr:rowOff>149679</xdr:rowOff>
    </xdr:from>
    <xdr:to>
      <xdr:col>20</xdr:col>
      <xdr:colOff>143058</xdr:colOff>
      <xdr:row>230</xdr:row>
      <xdr:rowOff>68036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1790A2B7-CBA0-A1F3-C130-E8A3ACDF3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713797" y="38753143"/>
          <a:ext cx="8275654" cy="221796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28575</xdr:rowOff>
    </xdr:from>
    <xdr:to>
      <xdr:col>4</xdr:col>
      <xdr:colOff>381000</xdr:colOff>
      <xdr:row>2</xdr:row>
      <xdr:rowOff>85725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28575"/>
          <a:ext cx="2257425" cy="438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9525</xdr:rowOff>
    </xdr:from>
    <xdr:to>
      <xdr:col>3</xdr:col>
      <xdr:colOff>85725</xdr:colOff>
      <xdr:row>2</xdr:row>
      <xdr:rowOff>83313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FDFA377-064D-44AF-A261-583F79330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" y="200025"/>
          <a:ext cx="1381125" cy="2642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</xdr:row>
      <xdr:rowOff>0</xdr:rowOff>
    </xdr:from>
    <xdr:to>
      <xdr:col>2</xdr:col>
      <xdr:colOff>895350</xdr:colOff>
      <xdr:row>2</xdr:row>
      <xdr:rowOff>73788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3EC7E74-FD66-4F59-82D6-F997BE81B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90500"/>
          <a:ext cx="1381125" cy="2642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433917</xdr:colOff>
      <xdr:row>0</xdr:row>
      <xdr:rowOff>92548</xdr:rowOff>
    </xdr:from>
    <xdr:to>
      <xdr:col>3</xdr:col>
      <xdr:colOff>74083</xdr:colOff>
      <xdr:row>1</xdr:row>
      <xdr:rowOff>105833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5F6ADA7-4EFE-8145-AE1C-C53251E3F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584" y="92548"/>
          <a:ext cx="1269999" cy="3096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164218</xdr:rowOff>
    </xdr:from>
    <xdr:to>
      <xdr:col>3</xdr:col>
      <xdr:colOff>274154</xdr:colOff>
      <xdr:row>2</xdr:row>
      <xdr:rowOff>47763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B139D08-A6FC-40A9-A747-68EF801C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726" y="164218"/>
          <a:ext cx="1347580" cy="2416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1</xdr:row>
      <xdr:rowOff>42235</xdr:rowOff>
    </xdr:from>
    <xdr:to>
      <xdr:col>3</xdr:col>
      <xdr:colOff>28221</xdr:colOff>
      <xdr:row>2</xdr:row>
      <xdr:rowOff>143638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E5EF7A9-85E3-48BB-BDEF-8F0C7735D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333" y="232735"/>
          <a:ext cx="1492250" cy="2855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76200</xdr:rowOff>
    </xdr:from>
    <xdr:to>
      <xdr:col>3</xdr:col>
      <xdr:colOff>349250</xdr:colOff>
      <xdr:row>1</xdr:row>
      <xdr:rowOff>149988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B170B90-0088-41AD-B4FE-485C1546F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76200"/>
          <a:ext cx="1381125" cy="2642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2</xdr:col>
      <xdr:colOff>1028700</xdr:colOff>
      <xdr:row>2</xdr:row>
      <xdr:rowOff>123825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66675"/>
          <a:ext cx="2257425" cy="438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2412</xdr:rowOff>
    </xdr:from>
    <xdr:to>
      <xdr:col>1</xdr:col>
      <xdr:colOff>1381125</xdr:colOff>
      <xdr:row>2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964D026-CC65-4B7E-9652-C77C932B4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2912"/>
          <a:ext cx="1381125" cy="2642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01.%20Janeiro/Pagamento/Reembolso%20Carv&#227;o/J&amp;F%20-%2000.350.763.0024-59/2026.02.10%20-%20REPROCESSAMENTO%20-%20J&amp;F%202025.xlsx" TargetMode="External"/><Relationship Id="rId2" Type="http://schemas.openxmlformats.org/officeDocument/2006/relationships/externalLinkPath" Target="file:///Z:\GCSE\CONTA%20CDE\CCEE%20-%20Opera&#231;&#227;o\2026\01.%20Janeiro\Pagamento\Reembolso%20Carv&#227;o\J&amp;F%20-%2000.350.763.0024-59\2026.02.10%20-%20REPROCESSAMENTO%20-%20J&amp;F%202025.xlsx" TargetMode="External"/><Relationship Id="rId1" Type="http://schemas.openxmlformats.org/officeDocument/2006/relationships/externalLinkPath" Target="/GCSE/CONTA%20CDE/CCEE%20-%20Opera&#231;&#227;o/2026/01.%20Janeiro/Pagamento/Reembolso%20Carv&#227;o/J&amp;F%20-%2000.350.763.0024-59/2026.02.10%20-%20REPROCESSAMENTO%20-%20J&amp;F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Introdução"/>
      <sheetName val="Carvão &amp; Total"/>
      <sheetName val="NF carvão"/>
      <sheetName val="Secund"/>
      <sheetName val="NF Óleo Comb"/>
      <sheetName val="ANP Diesel"/>
      <sheetName val="ANP Óleo Comb"/>
      <sheetName val="NF Diesel"/>
      <sheetName val="Estoque Carv"/>
      <sheetName val="Parâmetros"/>
      <sheetName val="Acompanhamento Ea-1"/>
      <sheetName val="SCD"/>
      <sheetName val="Reprocessamentos"/>
      <sheetName val="Financeiro"/>
      <sheetName val="Exportação"/>
      <sheetName val="Fiscalização Financeira"/>
      <sheetName val="Tribu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2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2"/>
  <dimension ref="A1:K21"/>
  <sheetViews>
    <sheetView showGridLines="0" zoomScale="70" zoomScaleNormal="70" workbookViewId="0">
      <selection activeCell="H7" sqref="H7"/>
    </sheetView>
  </sheetViews>
  <sheetFormatPr defaultColWidth="9.1796875" defaultRowHeight="25" customHeight="1" x14ac:dyDescent="0.35"/>
  <cols>
    <col min="1" max="1" width="22" customWidth="1"/>
    <col min="2" max="2" width="9.1796875" customWidth="1"/>
    <col min="4" max="4" width="12.7265625" customWidth="1"/>
    <col min="7" max="7" width="11.1796875" customWidth="1"/>
    <col min="8" max="8" width="14.453125" customWidth="1"/>
    <col min="10" max="10" width="11" customWidth="1"/>
  </cols>
  <sheetData>
    <row r="1" spans="1:11" ht="25" customHeight="1" x14ac:dyDescent="0.45">
      <c r="C1" s="307" t="s">
        <v>147</v>
      </c>
      <c r="D1" s="307"/>
      <c r="E1" s="307"/>
      <c r="F1" s="307"/>
      <c r="G1" s="307"/>
    </row>
    <row r="2" spans="1:11" ht="25" customHeight="1" x14ac:dyDescent="0.35">
      <c r="B2" s="53"/>
      <c r="C2" s="308" t="s">
        <v>148</v>
      </c>
      <c r="D2" s="308"/>
      <c r="E2" s="308"/>
      <c r="F2" s="308"/>
      <c r="G2" s="308"/>
    </row>
    <row r="3" spans="1:11" ht="25" customHeight="1" x14ac:dyDescent="0.35">
      <c r="B3" s="54"/>
      <c r="C3" s="309" t="s">
        <v>149</v>
      </c>
      <c r="D3" s="309"/>
      <c r="E3" s="309"/>
      <c r="F3" s="309"/>
      <c r="G3" s="309"/>
    </row>
    <row r="4" spans="1:11" ht="25" customHeight="1" x14ac:dyDescent="0.35">
      <c r="B4" s="53"/>
      <c r="C4" s="310" t="s">
        <v>150</v>
      </c>
      <c r="D4" s="310"/>
      <c r="E4" s="310"/>
      <c r="F4" s="310"/>
      <c r="G4" s="310"/>
    </row>
    <row r="5" spans="1:11" ht="25" customHeight="1" x14ac:dyDescent="0.35">
      <c r="B5" s="54"/>
      <c r="C5" s="311" t="s">
        <v>152</v>
      </c>
      <c r="D5" s="311"/>
      <c r="E5" s="311"/>
      <c r="F5" s="311"/>
      <c r="G5" s="311"/>
    </row>
    <row r="6" spans="1:11" ht="25" customHeight="1" x14ac:dyDescent="0.35">
      <c r="B6" s="53"/>
      <c r="C6" s="305" t="s">
        <v>151</v>
      </c>
      <c r="D6" s="305"/>
      <c r="E6" s="305"/>
      <c r="F6" s="305"/>
      <c r="G6" s="305"/>
    </row>
    <row r="8" spans="1:11" ht="25" customHeight="1" x14ac:dyDescent="0.45">
      <c r="A8" s="306" t="s">
        <v>153</v>
      </c>
      <c r="B8" s="306"/>
      <c r="C8" s="306"/>
      <c r="D8" s="306"/>
      <c r="E8" s="306"/>
      <c r="F8" s="306"/>
      <c r="G8" s="306"/>
      <c r="H8" s="44"/>
      <c r="I8" s="44"/>
      <c r="J8" s="44"/>
      <c r="K8" s="44"/>
    </row>
    <row r="9" spans="1:11" ht="25" customHeight="1" x14ac:dyDescent="0.35">
      <c r="A9" s="1" t="s">
        <v>157</v>
      </c>
      <c r="B9" t="s">
        <v>174</v>
      </c>
    </row>
    <row r="10" spans="1:11" ht="25" customHeight="1" x14ac:dyDescent="0.35">
      <c r="A10" s="1" t="s">
        <v>154</v>
      </c>
      <c r="B10" t="s">
        <v>175</v>
      </c>
    </row>
    <row r="11" spans="1:11" ht="25" customHeight="1" x14ac:dyDescent="0.35">
      <c r="A11" s="1" t="s">
        <v>155</v>
      </c>
      <c r="B11" t="s">
        <v>165</v>
      </c>
    </row>
    <row r="12" spans="1:11" ht="25" customHeight="1" x14ac:dyDescent="0.35">
      <c r="A12" s="1" t="s">
        <v>156</v>
      </c>
      <c r="B12" t="s">
        <v>166</v>
      </c>
    </row>
    <row r="13" spans="1:11" ht="25" customHeight="1" x14ac:dyDescent="0.35">
      <c r="A13" s="1" t="s">
        <v>158</v>
      </c>
      <c r="B13" t="s">
        <v>167</v>
      </c>
    </row>
    <row r="14" spans="1:11" ht="25" customHeight="1" x14ac:dyDescent="0.35">
      <c r="A14" s="1" t="s">
        <v>159</v>
      </c>
      <c r="B14" t="s">
        <v>168</v>
      </c>
    </row>
    <row r="15" spans="1:11" ht="25" customHeight="1" x14ac:dyDescent="0.35">
      <c r="A15" s="1" t="s">
        <v>160</v>
      </c>
      <c r="B15" t="s">
        <v>167</v>
      </c>
    </row>
    <row r="16" spans="1:11" ht="25" customHeight="1" x14ac:dyDescent="0.35">
      <c r="A16" s="1" t="s">
        <v>161</v>
      </c>
      <c r="B16" t="s">
        <v>176</v>
      </c>
    </row>
    <row r="17" spans="1:2" ht="25" customHeight="1" x14ac:dyDescent="0.35">
      <c r="A17" s="1" t="s">
        <v>187</v>
      </c>
      <c r="B17" t="s">
        <v>171</v>
      </c>
    </row>
    <row r="18" spans="1:2" ht="25" customHeight="1" x14ac:dyDescent="0.35">
      <c r="A18" s="1" t="s">
        <v>162</v>
      </c>
      <c r="B18" t="s">
        <v>169</v>
      </c>
    </row>
    <row r="19" spans="1:2" ht="25" customHeight="1" x14ac:dyDescent="0.35">
      <c r="A19" s="1" t="s">
        <v>163</v>
      </c>
      <c r="B19" t="s">
        <v>170</v>
      </c>
    </row>
    <row r="20" spans="1:2" ht="25" customHeight="1" x14ac:dyDescent="0.35">
      <c r="A20" s="1" t="s">
        <v>164</v>
      </c>
      <c r="B20" t="s">
        <v>172</v>
      </c>
    </row>
    <row r="21" spans="1:2" ht="25" customHeight="1" x14ac:dyDescent="0.35">
      <c r="A21" s="1" t="s">
        <v>103</v>
      </c>
      <c r="B21" t="s">
        <v>173</v>
      </c>
    </row>
  </sheetData>
  <mergeCells count="7">
    <mergeCell ref="C6:G6"/>
    <mergeCell ref="A8:G8"/>
    <mergeCell ref="C1:G1"/>
    <mergeCell ref="C2:G2"/>
    <mergeCell ref="C3:G3"/>
    <mergeCell ref="C4:G4"/>
    <mergeCell ref="C5:G5"/>
  </mergeCells>
  <pageMargins left="0.511811024" right="0.511811024" top="0.78740157499999996" bottom="0.78740157499999996" header="0.31496062000000002" footer="0.31496062000000002"/>
  <pageSetup orientation="portrait" horizont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9"/>
  <dimension ref="B1:H31"/>
  <sheetViews>
    <sheetView showGridLines="0" zoomScaleNormal="100" workbookViewId="0">
      <selection activeCell="D24" sqref="D24:D25"/>
    </sheetView>
  </sheetViews>
  <sheetFormatPr defaultRowHeight="14.5" x14ac:dyDescent="0.35"/>
  <cols>
    <col min="2" max="2" width="31.453125" style="2" customWidth="1"/>
    <col min="3" max="3" width="11.453125" style="3" customWidth="1"/>
    <col min="4" max="4" width="19.54296875" bestFit="1" customWidth="1"/>
    <col min="5" max="5" width="21.54296875" customWidth="1"/>
    <col min="6" max="6" width="12.7265625" customWidth="1"/>
    <col min="7" max="7" width="19.54296875" bestFit="1" customWidth="1"/>
  </cols>
  <sheetData>
    <row r="1" spans="2:8" x14ac:dyDescent="0.35">
      <c r="B1" s="340" t="s">
        <v>276</v>
      </c>
      <c r="C1" s="340"/>
      <c r="D1" s="340"/>
      <c r="E1" s="340"/>
      <c r="F1" s="340"/>
      <c r="G1" s="340"/>
      <c r="H1" s="340"/>
    </row>
    <row r="2" spans="2:8" x14ac:dyDescent="0.35">
      <c r="B2" s="340"/>
      <c r="C2" s="340"/>
      <c r="D2" s="340"/>
      <c r="E2" s="340"/>
      <c r="F2" s="340"/>
      <c r="G2" s="340"/>
      <c r="H2" s="340"/>
    </row>
    <row r="3" spans="2:8" x14ac:dyDescent="0.35">
      <c r="B3" s="340"/>
      <c r="C3" s="340"/>
      <c r="D3" s="340"/>
      <c r="E3" s="340"/>
      <c r="F3" s="340"/>
      <c r="G3" s="340"/>
      <c r="H3" s="340"/>
    </row>
    <row r="5" spans="2:8" s="4" customFormat="1" ht="28.5" customHeight="1" x14ac:dyDescent="0.35">
      <c r="C5" s="155" t="s">
        <v>19</v>
      </c>
      <c r="D5" s="155" t="s">
        <v>277</v>
      </c>
      <c r="E5" s="289"/>
      <c r="F5"/>
    </row>
    <row r="6" spans="2:8" ht="29" x14ac:dyDescent="0.35">
      <c r="B6" s="151" t="s">
        <v>215</v>
      </c>
      <c r="C6" s="287" t="s">
        <v>278</v>
      </c>
      <c r="D6" s="288">
        <v>1</v>
      </c>
      <c r="E6" s="213">
        <v>0.97920333693700001</v>
      </c>
    </row>
    <row r="7" spans="2:8" x14ac:dyDescent="0.35">
      <c r="B7" s="155" t="s">
        <v>91</v>
      </c>
      <c r="C7" s="99"/>
      <c r="D7" s="100">
        <v>1200000</v>
      </c>
    </row>
    <row r="8" spans="2:8" x14ac:dyDescent="0.35">
      <c r="B8" s="101" t="s">
        <v>89</v>
      </c>
      <c r="C8" s="99"/>
      <c r="D8" s="100">
        <f>D7/12</f>
        <v>100000</v>
      </c>
    </row>
    <row r="9" spans="2:8" x14ac:dyDescent="0.35">
      <c r="B9" s="155" t="s">
        <v>92</v>
      </c>
      <c r="C9" s="99"/>
      <c r="D9" s="100">
        <v>1600000</v>
      </c>
    </row>
    <row r="10" spans="2:8" x14ac:dyDescent="0.35">
      <c r="B10" s="101" t="s">
        <v>90</v>
      </c>
      <c r="C10" s="99"/>
      <c r="D10" s="100">
        <f>D9/12</f>
        <v>133333.33333333334</v>
      </c>
    </row>
    <row r="11" spans="2:8" x14ac:dyDescent="0.35">
      <c r="B11" s="155" t="s">
        <v>20</v>
      </c>
      <c r="C11" s="102">
        <v>42705</v>
      </c>
      <c r="D11" s="86">
        <v>0</v>
      </c>
    </row>
    <row r="12" spans="2:8" x14ac:dyDescent="0.35">
      <c r="B12" s="101" t="s">
        <v>21</v>
      </c>
      <c r="C12" s="99" t="s">
        <v>23</v>
      </c>
      <c r="D12" s="86">
        <f>D11/5</f>
        <v>0</v>
      </c>
    </row>
    <row r="13" spans="2:8" ht="29" x14ac:dyDescent="0.35">
      <c r="B13" s="101" t="s">
        <v>22</v>
      </c>
      <c r="C13" s="99" t="s">
        <v>31</v>
      </c>
      <c r="D13" s="86">
        <f>D12/12</f>
        <v>0</v>
      </c>
    </row>
    <row r="14" spans="2:8" hidden="1" x14ac:dyDescent="0.35">
      <c r="B14" s="155" t="s">
        <v>238</v>
      </c>
      <c r="C14" s="99"/>
      <c r="D14" s="76"/>
    </row>
    <row r="15" spans="2:8" hidden="1" x14ac:dyDescent="0.35">
      <c r="B15" s="101" t="s">
        <v>238</v>
      </c>
      <c r="C15" s="99" t="s">
        <v>88</v>
      </c>
      <c r="D15" s="76">
        <f>D14/2</f>
        <v>0</v>
      </c>
    </row>
    <row r="16" spans="2:8" hidden="1" x14ac:dyDescent="0.35">
      <c r="B16" s="101"/>
      <c r="C16" s="99" t="s">
        <v>35</v>
      </c>
      <c r="D16" s="76">
        <f>D15/12</f>
        <v>0</v>
      </c>
    </row>
    <row r="17" spans="2:7" ht="43.5" x14ac:dyDescent="0.35">
      <c r="B17" s="155" t="s">
        <v>212</v>
      </c>
      <c r="C17" s="99" t="s">
        <v>88</v>
      </c>
      <c r="D17" s="100">
        <v>0</v>
      </c>
    </row>
    <row r="18" spans="2:7" ht="29" x14ac:dyDescent="0.35">
      <c r="B18" s="101" t="s">
        <v>24</v>
      </c>
      <c r="C18" s="99" t="s">
        <v>31</v>
      </c>
      <c r="D18" s="76">
        <f>D17/12</f>
        <v>0</v>
      </c>
    </row>
    <row r="19" spans="2:7" hidden="1" x14ac:dyDescent="0.35">
      <c r="B19" s="155" t="s">
        <v>209</v>
      </c>
      <c r="C19" s="99"/>
      <c r="D19" s="76"/>
    </row>
    <row r="20" spans="2:7" hidden="1" x14ac:dyDescent="0.35">
      <c r="B20" s="101" t="s">
        <v>209</v>
      </c>
      <c r="C20" s="99" t="s">
        <v>88</v>
      </c>
      <c r="D20" s="76">
        <f>D19/2</f>
        <v>0</v>
      </c>
    </row>
    <row r="21" spans="2:7" hidden="1" x14ac:dyDescent="0.35">
      <c r="B21" s="101" t="s">
        <v>209</v>
      </c>
      <c r="C21" s="99" t="s">
        <v>35</v>
      </c>
      <c r="D21" s="76">
        <f>D20/12</f>
        <v>0</v>
      </c>
    </row>
    <row r="22" spans="2:7" ht="29" hidden="1" x14ac:dyDescent="0.35">
      <c r="B22" s="101" t="s">
        <v>25</v>
      </c>
      <c r="C22" s="99" t="s">
        <v>27</v>
      </c>
      <c r="D22" s="212">
        <v>0</v>
      </c>
    </row>
    <row r="23" spans="2:7" ht="29" x14ac:dyDescent="0.35">
      <c r="B23" s="101" t="s">
        <v>26</v>
      </c>
      <c r="C23" s="99" t="s">
        <v>31</v>
      </c>
      <c r="D23" s="76">
        <v>0</v>
      </c>
    </row>
    <row r="24" spans="2:7" ht="43.5" x14ac:dyDescent="0.35">
      <c r="B24" s="155" t="s">
        <v>28</v>
      </c>
      <c r="C24" s="99" t="s">
        <v>29</v>
      </c>
      <c r="D24" s="290">
        <v>250730234.46000001</v>
      </c>
    </row>
    <row r="25" spans="2:7" ht="29" x14ac:dyDescent="0.35">
      <c r="B25" s="101" t="s">
        <v>30</v>
      </c>
      <c r="C25" s="99" t="s">
        <v>31</v>
      </c>
      <c r="D25" s="291">
        <f>D24/12</f>
        <v>20894186.205000002</v>
      </c>
    </row>
    <row r="26" spans="2:7" ht="15" customHeight="1" x14ac:dyDescent="0.35"/>
    <row r="27" spans="2:7" ht="15" customHeight="1" x14ac:dyDescent="0.35"/>
    <row r="28" spans="2:7" x14ac:dyDescent="0.35">
      <c r="B28" s="341" t="s">
        <v>186</v>
      </c>
      <c r="C28" s="342"/>
      <c r="D28" s="342"/>
      <c r="E28" s="342"/>
      <c r="F28" s="342"/>
      <c r="G28" s="342"/>
    </row>
    <row r="29" spans="2:7" ht="14.25" customHeight="1" x14ac:dyDescent="0.35">
      <c r="B29" s="338" t="s">
        <v>181</v>
      </c>
      <c r="C29" s="339"/>
      <c r="D29" s="339"/>
      <c r="E29" s="339"/>
      <c r="F29" s="339"/>
      <c r="G29" s="339"/>
    </row>
    <row r="31" spans="2:7" x14ac:dyDescent="0.35">
      <c r="B31" s="266"/>
    </row>
  </sheetData>
  <mergeCells count="3">
    <mergeCell ref="B29:G29"/>
    <mergeCell ref="B1:H3"/>
    <mergeCell ref="B28:G2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0"/>
  <dimension ref="B1:N71"/>
  <sheetViews>
    <sheetView showGridLines="0" workbookViewId="0">
      <selection activeCell="F59" sqref="F59"/>
    </sheetView>
  </sheetViews>
  <sheetFormatPr defaultRowHeight="14.5" outlineLevelRow="1" x14ac:dyDescent="0.35"/>
  <cols>
    <col min="1" max="1" width="3.81640625" customWidth="1"/>
    <col min="3" max="3" width="10.7265625" style="7" customWidth="1"/>
    <col min="4" max="4" width="18.81640625" style="30" customWidth="1"/>
    <col min="5" max="5" width="11" style="31" customWidth="1"/>
    <col min="6" max="6" width="14.453125" style="28" customWidth="1"/>
    <col min="7" max="7" width="11.453125" style="28" customWidth="1"/>
  </cols>
  <sheetData>
    <row r="1" spans="2:14" ht="15" customHeight="1" x14ac:dyDescent="0.35">
      <c r="B1" s="321" t="s">
        <v>267</v>
      </c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56"/>
      <c r="N1" s="56"/>
    </row>
    <row r="2" spans="2:14" ht="15" customHeight="1" x14ac:dyDescent="0.35"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56"/>
      <c r="N2" s="56"/>
    </row>
    <row r="3" spans="2:14" ht="18.75" customHeight="1" x14ac:dyDescent="0.35"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56"/>
      <c r="N3" s="56"/>
    </row>
    <row r="4" spans="2:14" ht="18.75" customHeight="1" x14ac:dyDescent="0.35">
      <c r="B4" s="61"/>
      <c r="C4" s="344" t="s">
        <v>188</v>
      </c>
      <c r="D4" s="344"/>
      <c r="E4" s="344"/>
      <c r="F4" s="344"/>
      <c r="G4" s="344"/>
      <c r="H4" s="344"/>
      <c r="I4" s="344"/>
      <c r="J4" s="344"/>
      <c r="K4" s="344"/>
      <c r="L4" s="344"/>
      <c r="M4" s="56"/>
      <c r="N4" s="56"/>
    </row>
    <row r="5" spans="2:14" ht="18.75" customHeight="1" x14ac:dyDescent="0.35">
      <c r="B5" s="61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56"/>
      <c r="N5" s="56"/>
    </row>
    <row r="6" spans="2:14" ht="18.75" customHeight="1" x14ac:dyDescent="0.35">
      <c r="B6" s="61"/>
      <c r="C6" s="344"/>
      <c r="D6" s="344"/>
      <c r="E6" s="344"/>
      <c r="F6" s="344"/>
      <c r="G6" s="344"/>
      <c r="H6" s="344"/>
      <c r="I6" s="344"/>
      <c r="J6" s="344"/>
      <c r="K6" s="344"/>
      <c r="L6" s="344"/>
      <c r="M6" s="56"/>
      <c r="N6" s="56"/>
    </row>
    <row r="7" spans="2:14" s="3" customFormat="1" x14ac:dyDescent="0.35">
      <c r="C7" s="57"/>
      <c r="D7" s="58"/>
      <c r="E7" s="59"/>
      <c r="F7" s="60"/>
      <c r="G7" s="60"/>
    </row>
    <row r="8" spans="2:14" s="3" customFormat="1" ht="43.5" x14ac:dyDescent="0.35">
      <c r="C8" s="155" t="s">
        <v>75</v>
      </c>
      <c r="D8" s="72" t="s">
        <v>183</v>
      </c>
      <c r="E8" s="72" t="s">
        <v>184</v>
      </c>
      <c r="F8" s="92" t="s">
        <v>185</v>
      </c>
    </row>
    <row r="9" spans="2:14" hidden="1" outlineLevel="1" x14ac:dyDescent="0.35">
      <c r="B9" s="343">
        <v>2018</v>
      </c>
      <c r="C9" s="93">
        <v>43131</v>
      </c>
      <c r="D9" s="94">
        <v>91200</v>
      </c>
      <c r="E9" s="95">
        <v>127354.1</v>
      </c>
      <c r="F9" s="96">
        <f>D9-E9</f>
        <v>-36154.100000000006</v>
      </c>
      <c r="G9"/>
    </row>
    <row r="10" spans="2:14" hidden="1" outlineLevel="1" x14ac:dyDescent="0.35">
      <c r="B10" s="343"/>
      <c r="C10" s="93">
        <v>43159</v>
      </c>
      <c r="D10" s="94">
        <v>91200</v>
      </c>
      <c r="E10" s="95">
        <v>133666</v>
      </c>
      <c r="F10" s="96">
        <f t="shared" ref="F10:F19" si="0">F9+D10-E10</f>
        <v>-78620.100000000006</v>
      </c>
      <c r="G10"/>
    </row>
    <row r="11" spans="2:14" hidden="1" outlineLevel="1" x14ac:dyDescent="0.35">
      <c r="B11" s="343"/>
      <c r="C11" s="93">
        <v>43190</v>
      </c>
      <c r="D11" s="94">
        <v>91200</v>
      </c>
      <c r="E11" s="95">
        <v>129109</v>
      </c>
      <c r="F11" s="96">
        <f t="shared" si="0"/>
        <v>-116529.1</v>
      </c>
      <c r="G11"/>
    </row>
    <row r="12" spans="2:14" hidden="1" outlineLevel="1" x14ac:dyDescent="0.35">
      <c r="B12" s="343"/>
      <c r="C12" s="93">
        <v>43220</v>
      </c>
      <c r="D12" s="94">
        <v>91200</v>
      </c>
      <c r="E12" s="95">
        <v>106028</v>
      </c>
      <c r="F12" s="96">
        <f t="shared" si="0"/>
        <v>-131357.1</v>
      </c>
      <c r="G12"/>
    </row>
    <row r="13" spans="2:14" hidden="1" outlineLevel="1" x14ac:dyDescent="0.35">
      <c r="B13" s="343"/>
      <c r="C13" s="93">
        <v>43251</v>
      </c>
      <c r="D13" s="94">
        <v>91200</v>
      </c>
      <c r="E13" s="95">
        <v>116238</v>
      </c>
      <c r="F13" s="96">
        <f t="shared" si="0"/>
        <v>-156395.1</v>
      </c>
      <c r="G13"/>
    </row>
    <row r="14" spans="2:14" hidden="1" outlineLevel="1" x14ac:dyDescent="0.35">
      <c r="B14" s="343"/>
      <c r="C14" s="93">
        <v>43281</v>
      </c>
      <c r="D14" s="94">
        <v>91200</v>
      </c>
      <c r="E14" s="95">
        <v>104799</v>
      </c>
      <c r="F14" s="96">
        <f t="shared" si="0"/>
        <v>-169994.1</v>
      </c>
      <c r="G14"/>
    </row>
    <row r="15" spans="2:14" hidden="1" outlineLevel="1" x14ac:dyDescent="0.35">
      <c r="B15" s="343"/>
      <c r="C15" s="93">
        <v>43312</v>
      </c>
      <c r="D15" s="94">
        <v>91200</v>
      </c>
      <c r="E15" s="95">
        <v>107830</v>
      </c>
      <c r="F15" s="96">
        <f t="shared" si="0"/>
        <v>-186624.1</v>
      </c>
      <c r="G15"/>
    </row>
    <row r="16" spans="2:14" hidden="1" outlineLevel="1" x14ac:dyDescent="0.35">
      <c r="B16" s="343"/>
      <c r="C16" s="93">
        <v>43343</v>
      </c>
      <c r="D16" s="94">
        <v>91200</v>
      </c>
      <c r="E16" s="95">
        <v>132856</v>
      </c>
      <c r="F16" s="96">
        <f t="shared" si="0"/>
        <v>-228280.1</v>
      </c>
      <c r="G16"/>
    </row>
    <row r="17" spans="2:7" hidden="1" outlineLevel="1" x14ac:dyDescent="0.35">
      <c r="B17" s="343"/>
      <c r="C17" s="93">
        <v>43373</v>
      </c>
      <c r="D17" s="94">
        <v>91200</v>
      </c>
      <c r="E17" s="95">
        <v>108273</v>
      </c>
      <c r="F17" s="96">
        <f t="shared" si="0"/>
        <v>-245353.1</v>
      </c>
      <c r="G17"/>
    </row>
    <row r="18" spans="2:7" hidden="1" outlineLevel="1" x14ac:dyDescent="0.35">
      <c r="B18" s="343"/>
      <c r="C18" s="93">
        <v>43404</v>
      </c>
      <c r="D18" s="94">
        <v>91200</v>
      </c>
      <c r="E18" s="95">
        <v>122587</v>
      </c>
      <c r="F18" s="96">
        <f t="shared" si="0"/>
        <v>-276740.09999999998</v>
      </c>
      <c r="G18"/>
    </row>
    <row r="19" spans="2:7" hidden="1" outlineLevel="1" x14ac:dyDescent="0.35">
      <c r="B19" s="343"/>
      <c r="C19" s="93">
        <v>43434</v>
      </c>
      <c r="D19" s="94">
        <v>91200</v>
      </c>
      <c r="E19" s="95">
        <v>121345</v>
      </c>
      <c r="F19" s="96">
        <f t="shared" si="0"/>
        <v>-306885.09999999998</v>
      </c>
      <c r="G19"/>
    </row>
    <row r="20" spans="2:7" hidden="1" outlineLevel="1" x14ac:dyDescent="0.35">
      <c r="B20" s="343"/>
      <c r="C20" s="93">
        <v>43465</v>
      </c>
      <c r="D20" s="94">
        <v>91200</v>
      </c>
      <c r="E20" s="95">
        <v>47451</v>
      </c>
      <c r="F20" s="97">
        <f>IF(F19+D20-E20&lt;0,0,F19+D20-E20)</f>
        <v>0</v>
      </c>
      <c r="G20"/>
    </row>
    <row r="21" spans="2:7" hidden="1" outlineLevel="1" x14ac:dyDescent="0.35">
      <c r="B21" s="343">
        <v>2019</v>
      </c>
      <c r="C21" s="93">
        <v>43496</v>
      </c>
      <c r="D21" s="94">
        <v>100000</v>
      </c>
      <c r="E21" s="95">
        <v>0</v>
      </c>
      <c r="F21" s="96">
        <f>D21-E21</f>
        <v>100000</v>
      </c>
      <c r="G21"/>
    </row>
    <row r="22" spans="2:7" hidden="1" outlineLevel="1" x14ac:dyDescent="0.35">
      <c r="B22" s="343"/>
      <c r="C22" s="93">
        <v>43524</v>
      </c>
      <c r="D22" s="94">
        <v>100000</v>
      </c>
      <c r="E22" s="95">
        <v>0</v>
      </c>
      <c r="F22" s="96">
        <f t="shared" ref="F22:F31" si="1">F21+D22-E22</f>
        <v>200000</v>
      </c>
      <c r="G22"/>
    </row>
    <row r="23" spans="2:7" hidden="1" outlineLevel="1" x14ac:dyDescent="0.35">
      <c r="B23" s="343"/>
      <c r="C23" s="93">
        <v>43555</v>
      </c>
      <c r="D23" s="94">
        <v>100000</v>
      </c>
      <c r="E23" s="95">
        <v>1624</v>
      </c>
      <c r="F23" s="96">
        <f t="shared" si="1"/>
        <v>298376</v>
      </c>
      <c r="G23"/>
    </row>
    <row r="24" spans="2:7" hidden="1" outlineLevel="1" x14ac:dyDescent="0.35">
      <c r="B24" s="343"/>
      <c r="C24" s="93">
        <v>43585</v>
      </c>
      <c r="D24" s="94">
        <v>100000</v>
      </c>
      <c r="E24" s="95">
        <v>112473</v>
      </c>
      <c r="F24" s="96">
        <f t="shared" si="1"/>
        <v>285903</v>
      </c>
      <c r="G24"/>
    </row>
    <row r="25" spans="2:7" hidden="1" outlineLevel="1" x14ac:dyDescent="0.35">
      <c r="B25" s="343"/>
      <c r="C25" s="93">
        <v>43616</v>
      </c>
      <c r="D25" s="94">
        <v>100000</v>
      </c>
      <c r="E25" s="95">
        <v>169527.43999999994</v>
      </c>
      <c r="F25" s="96">
        <f t="shared" si="1"/>
        <v>216375.56000000006</v>
      </c>
      <c r="G25"/>
    </row>
    <row r="26" spans="2:7" hidden="1" outlineLevel="1" x14ac:dyDescent="0.35">
      <c r="B26" s="343"/>
      <c r="C26" s="93">
        <v>43646</v>
      </c>
      <c r="D26" s="94">
        <v>100000</v>
      </c>
      <c r="E26" s="95">
        <v>178726</v>
      </c>
      <c r="F26" s="96">
        <f t="shared" si="1"/>
        <v>137649.56000000006</v>
      </c>
      <c r="G26"/>
    </row>
    <row r="27" spans="2:7" hidden="1" outlineLevel="1" x14ac:dyDescent="0.35">
      <c r="B27" s="343"/>
      <c r="C27" s="93">
        <v>43677</v>
      </c>
      <c r="D27" s="94">
        <v>100000</v>
      </c>
      <c r="E27" s="95">
        <v>154606</v>
      </c>
      <c r="F27" s="96">
        <f t="shared" si="1"/>
        <v>83043.560000000056</v>
      </c>
      <c r="G27"/>
    </row>
    <row r="28" spans="2:7" hidden="1" outlineLevel="1" x14ac:dyDescent="0.35">
      <c r="B28" s="343"/>
      <c r="C28" s="93">
        <v>43708</v>
      </c>
      <c r="D28" s="94">
        <v>100000</v>
      </c>
      <c r="E28" s="95">
        <v>174506</v>
      </c>
      <c r="F28" s="96">
        <f t="shared" si="1"/>
        <v>8537.5600000000559</v>
      </c>
      <c r="G28"/>
    </row>
    <row r="29" spans="2:7" hidden="1" outlineLevel="1" x14ac:dyDescent="0.35">
      <c r="B29" s="343"/>
      <c r="C29" s="93">
        <v>43738</v>
      </c>
      <c r="D29" s="94">
        <v>100000</v>
      </c>
      <c r="E29" s="95">
        <v>171100</v>
      </c>
      <c r="F29" s="96">
        <f t="shared" si="1"/>
        <v>-62562.439999999944</v>
      </c>
      <c r="G29"/>
    </row>
    <row r="30" spans="2:7" hidden="1" outlineLevel="1" x14ac:dyDescent="0.35">
      <c r="B30" s="343"/>
      <c r="C30" s="93">
        <v>43769</v>
      </c>
      <c r="D30" s="94">
        <v>100000</v>
      </c>
      <c r="E30" s="95">
        <v>133619</v>
      </c>
      <c r="F30" s="96">
        <f t="shared" si="1"/>
        <v>-96181.439999999944</v>
      </c>
      <c r="G30"/>
    </row>
    <row r="31" spans="2:7" hidden="1" outlineLevel="1" x14ac:dyDescent="0.35">
      <c r="B31" s="343"/>
      <c r="C31" s="93">
        <v>43799</v>
      </c>
      <c r="D31" s="94">
        <v>100000</v>
      </c>
      <c r="E31" s="95">
        <v>173125</v>
      </c>
      <c r="F31" s="96">
        <f t="shared" si="1"/>
        <v>-169306.43999999994</v>
      </c>
      <c r="G31"/>
    </row>
    <row r="32" spans="2:7" hidden="1" outlineLevel="1" x14ac:dyDescent="0.35">
      <c r="B32" s="343"/>
      <c r="C32" s="93">
        <v>43830</v>
      </c>
      <c r="D32" s="94">
        <v>100000</v>
      </c>
      <c r="E32" s="95">
        <v>202947</v>
      </c>
      <c r="F32" s="97">
        <f>IF(F31+D32-E32&lt;0,0,F31+D32-E32)</f>
        <v>0</v>
      </c>
      <c r="G32"/>
    </row>
    <row r="33" spans="2:12" hidden="1" outlineLevel="1" x14ac:dyDescent="0.35">
      <c r="B33" s="343">
        <v>2020</v>
      </c>
      <c r="C33" s="93">
        <v>43861</v>
      </c>
      <c r="D33" s="94">
        <v>99700</v>
      </c>
      <c r="E33" s="95">
        <v>178232</v>
      </c>
      <c r="F33" s="96">
        <f>D33-E33</f>
        <v>-78532</v>
      </c>
      <c r="G33"/>
    </row>
    <row r="34" spans="2:12" hidden="1" outlineLevel="1" x14ac:dyDescent="0.35">
      <c r="B34" s="343"/>
      <c r="C34" s="93">
        <v>43890</v>
      </c>
      <c r="D34" s="94">
        <v>99700</v>
      </c>
      <c r="E34" s="95">
        <v>175035</v>
      </c>
      <c r="F34" s="96">
        <f>F33+D34-E34</f>
        <v>-153867</v>
      </c>
      <c r="G34"/>
    </row>
    <row r="35" spans="2:12" hidden="1" outlineLevel="1" x14ac:dyDescent="0.35">
      <c r="B35" s="343"/>
      <c r="C35" s="93">
        <v>43921</v>
      </c>
      <c r="D35" s="94">
        <v>100530.83001000001</v>
      </c>
      <c r="E35" s="95">
        <v>166525</v>
      </c>
      <c r="F35" s="96">
        <f>F34+D35-E35</f>
        <v>-219861.16998999999</v>
      </c>
      <c r="G35"/>
    </row>
    <row r="36" spans="2:12" hidden="1" outlineLevel="1" x14ac:dyDescent="0.35">
      <c r="B36" s="343"/>
      <c r="C36" s="93">
        <v>43951</v>
      </c>
      <c r="D36" s="94">
        <v>100530.83001000001</v>
      </c>
      <c r="E36" s="95">
        <v>18366</v>
      </c>
      <c r="F36" s="96">
        <f>F35+D36-E36</f>
        <v>-137696.33997999999</v>
      </c>
      <c r="G36"/>
    </row>
    <row r="37" spans="2:12" hidden="1" outlineLevel="1" x14ac:dyDescent="0.35">
      <c r="B37" s="343"/>
      <c r="C37" s="93">
        <v>43982</v>
      </c>
      <c r="D37" s="94">
        <v>100530.83001000001</v>
      </c>
      <c r="E37" s="95">
        <v>155615</v>
      </c>
      <c r="F37" s="96">
        <f t="shared" ref="F37:F43" si="2">F36+D37-E37</f>
        <v>-192780.50996999998</v>
      </c>
      <c r="G37"/>
    </row>
    <row r="38" spans="2:12" hidden="1" outlineLevel="1" x14ac:dyDescent="0.35">
      <c r="B38" s="343"/>
      <c r="C38" s="93">
        <v>44012</v>
      </c>
      <c r="D38" s="94">
        <v>100530.83001000001</v>
      </c>
      <c r="E38" s="95">
        <v>167504.704</v>
      </c>
      <c r="F38" s="96">
        <f t="shared" si="2"/>
        <v>-259754.38395999998</v>
      </c>
      <c r="G38"/>
    </row>
    <row r="39" spans="2:12" hidden="1" outlineLevel="1" x14ac:dyDescent="0.35">
      <c r="B39" s="343"/>
      <c r="C39" s="93">
        <v>44043</v>
      </c>
      <c r="D39" s="94">
        <v>100530.83001000001</v>
      </c>
      <c r="E39" s="95">
        <v>0</v>
      </c>
      <c r="F39" s="96">
        <f t="shared" si="2"/>
        <v>-159223.55394999997</v>
      </c>
      <c r="G39"/>
    </row>
    <row r="40" spans="2:12" hidden="1" outlineLevel="1" x14ac:dyDescent="0.35">
      <c r="B40" s="343"/>
      <c r="C40" s="93">
        <v>44074</v>
      </c>
      <c r="D40" s="94">
        <v>100530.83001000001</v>
      </c>
      <c r="E40" s="95">
        <v>0</v>
      </c>
      <c r="F40" s="96">
        <f t="shared" si="2"/>
        <v>-58692.723939999967</v>
      </c>
      <c r="G40"/>
    </row>
    <row r="41" spans="2:12" hidden="1" outlineLevel="1" x14ac:dyDescent="0.35">
      <c r="B41" s="343"/>
      <c r="C41" s="93">
        <v>44104</v>
      </c>
      <c r="D41" s="94">
        <v>100530.83001000001</v>
      </c>
      <c r="E41" s="95">
        <v>0</v>
      </c>
      <c r="F41" s="96">
        <f t="shared" si="2"/>
        <v>41838.106070000038</v>
      </c>
      <c r="G41"/>
    </row>
    <row r="42" spans="2:12" hidden="1" outlineLevel="1" x14ac:dyDescent="0.35">
      <c r="B42" s="343"/>
      <c r="C42" s="93">
        <v>44135</v>
      </c>
      <c r="D42" s="94">
        <v>100530.83001000001</v>
      </c>
      <c r="E42" s="95">
        <v>0</v>
      </c>
      <c r="F42" s="96">
        <f t="shared" si="2"/>
        <v>142368.93608000004</v>
      </c>
      <c r="G42"/>
    </row>
    <row r="43" spans="2:12" hidden="1" outlineLevel="1" x14ac:dyDescent="0.35">
      <c r="B43" s="343"/>
      <c r="C43" s="93">
        <v>44165</v>
      </c>
      <c r="D43" s="94">
        <v>100530.83001000001</v>
      </c>
      <c r="E43" s="95">
        <v>33574</v>
      </c>
      <c r="F43" s="96">
        <f t="shared" si="2"/>
        <v>209325.76609000005</v>
      </c>
      <c r="G43"/>
    </row>
    <row r="44" spans="2:12" hidden="1" outlineLevel="1" x14ac:dyDescent="0.35">
      <c r="B44" s="343"/>
      <c r="C44" s="93">
        <v>44196</v>
      </c>
      <c r="D44" s="94">
        <v>100530.83001000001</v>
      </c>
      <c r="E44" s="95">
        <v>186056.44899999999</v>
      </c>
      <c r="F44" s="97">
        <f>IF(F43+D44-E44&lt;0,0,F43+D44-E44)</f>
        <v>123800.14710000009</v>
      </c>
      <c r="G44"/>
    </row>
    <row r="45" spans="2:12" ht="15.75" hidden="1" customHeight="1" outlineLevel="1" x14ac:dyDescent="0.35">
      <c r="B45" s="343">
        <v>2021</v>
      </c>
      <c r="C45" s="93">
        <v>44227</v>
      </c>
      <c r="D45" s="94">
        <v>100077.080025</v>
      </c>
      <c r="E45" s="95">
        <v>150397.39000000001</v>
      </c>
      <c r="F45" s="96">
        <f>D45-E45</f>
        <v>-50320.309975000011</v>
      </c>
    </row>
    <row r="46" spans="2:12" ht="15" hidden="1" customHeight="1" outlineLevel="1" x14ac:dyDescent="0.35">
      <c r="B46" s="343"/>
      <c r="C46" s="93">
        <v>44255</v>
      </c>
      <c r="D46" s="94">
        <v>100077.080025</v>
      </c>
      <c r="E46" s="95">
        <v>182788.41</v>
      </c>
      <c r="F46" s="96">
        <f>F45+D46-E46</f>
        <v>-133031.63995000001</v>
      </c>
      <c r="G46" s="64"/>
      <c r="H46" s="64"/>
      <c r="I46" s="64"/>
      <c r="J46" s="64"/>
      <c r="K46" s="64"/>
      <c r="L46" s="64"/>
    </row>
    <row r="47" spans="2:12" hidden="1" outlineLevel="1" x14ac:dyDescent="0.35">
      <c r="B47" s="343"/>
      <c r="C47" s="93">
        <v>44286</v>
      </c>
      <c r="D47" s="94">
        <v>99250</v>
      </c>
      <c r="E47" s="95">
        <v>167069.60999999999</v>
      </c>
      <c r="F47" s="96">
        <f>F46+D47-E47</f>
        <v>-200851.24995</v>
      </c>
      <c r="G47" s="64"/>
      <c r="H47" s="64"/>
      <c r="I47" s="64"/>
      <c r="J47" s="64"/>
      <c r="K47" s="64"/>
      <c r="L47" s="64"/>
    </row>
    <row r="48" spans="2:12" hidden="1" outlineLevel="1" x14ac:dyDescent="0.35">
      <c r="B48" s="343"/>
      <c r="C48" s="93">
        <v>44316</v>
      </c>
      <c r="D48" s="94">
        <v>99250</v>
      </c>
      <c r="E48" s="95">
        <v>200179.22</v>
      </c>
      <c r="F48" s="96">
        <f>F47+D48-E48</f>
        <v>-301780.46995</v>
      </c>
      <c r="G48" s="64"/>
      <c r="H48" s="64"/>
      <c r="I48" s="64"/>
      <c r="J48" s="64"/>
      <c r="K48" s="64"/>
      <c r="L48" s="64"/>
    </row>
    <row r="49" spans="2:6" hidden="1" outlineLevel="1" x14ac:dyDescent="0.35">
      <c r="B49" s="343"/>
      <c r="C49" s="93">
        <v>44347</v>
      </c>
      <c r="D49" s="94">
        <v>100077.080025</v>
      </c>
      <c r="E49" s="95">
        <v>202979.99</v>
      </c>
      <c r="F49" s="96">
        <f t="shared" ref="F49:F55" si="3">F48+D49-E49</f>
        <v>-404683.37992500002</v>
      </c>
    </row>
    <row r="50" spans="2:6" hidden="1" outlineLevel="1" x14ac:dyDescent="0.35">
      <c r="B50" s="343"/>
      <c r="C50" s="93">
        <v>44377</v>
      </c>
      <c r="D50" s="94">
        <v>100077.080025</v>
      </c>
      <c r="E50" s="95">
        <v>196971.53</v>
      </c>
      <c r="F50" s="96">
        <f t="shared" si="3"/>
        <v>-501577.82990000001</v>
      </c>
    </row>
    <row r="51" spans="2:6" hidden="1" outlineLevel="1" x14ac:dyDescent="0.35">
      <c r="B51" s="343"/>
      <c r="C51" s="93">
        <v>44408</v>
      </c>
      <c r="D51" s="94">
        <v>100077.080025</v>
      </c>
      <c r="E51" s="95">
        <v>139873.43</v>
      </c>
      <c r="F51" s="96">
        <f t="shared" si="3"/>
        <v>-541374.17987499991</v>
      </c>
    </row>
    <row r="52" spans="2:6" hidden="1" outlineLevel="1" x14ac:dyDescent="0.35">
      <c r="B52" s="343"/>
      <c r="C52" s="93">
        <v>44439</v>
      </c>
      <c r="D52" s="94">
        <v>99250</v>
      </c>
      <c r="E52" s="95">
        <v>200360.12</v>
      </c>
      <c r="F52" s="96">
        <f t="shared" si="3"/>
        <v>-642484.29987499991</v>
      </c>
    </row>
    <row r="53" spans="2:6" hidden="1" outlineLevel="1" x14ac:dyDescent="0.35">
      <c r="B53" s="343"/>
      <c r="C53" s="93">
        <v>44469</v>
      </c>
      <c r="D53" s="94">
        <v>99250</v>
      </c>
      <c r="E53" s="95">
        <v>171684.78</v>
      </c>
      <c r="F53" s="96">
        <f t="shared" si="3"/>
        <v>-714919.07987499994</v>
      </c>
    </row>
    <row r="54" spans="2:6" hidden="1" outlineLevel="1" x14ac:dyDescent="0.35">
      <c r="B54" s="343"/>
      <c r="C54" s="93">
        <v>44500</v>
      </c>
      <c r="D54" s="94">
        <v>99250</v>
      </c>
      <c r="E54" s="95">
        <v>159420.76</v>
      </c>
      <c r="F54" s="96">
        <f t="shared" si="3"/>
        <v>-775089.83987499995</v>
      </c>
    </row>
    <row r="55" spans="2:6" hidden="1" outlineLevel="1" x14ac:dyDescent="0.35">
      <c r="B55" s="343"/>
      <c r="C55" s="93">
        <v>44530</v>
      </c>
      <c r="D55" s="94">
        <v>99250</v>
      </c>
      <c r="E55" s="95">
        <v>165907.845</v>
      </c>
      <c r="F55" s="96">
        <f t="shared" si="3"/>
        <v>-841747.68487499992</v>
      </c>
    </row>
    <row r="56" spans="2:6" hidden="1" outlineLevel="1" x14ac:dyDescent="0.35">
      <c r="B56" s="343"/>
      <c r="C56" s="93">
        <v>44561</v>
      </c>
      <c r="D56" s="94">
        <v>99250</v>
      </c>
      <c r="E56" s="95">
        <v>193635.671</v>
      </c>
      <c r="F56" s="97">
        <f>IF(F55+D56-E56&lt;0,0,F55+D56-E56)</f>
        <v>0</v>
      </c>
    </row>
    <row r="57" spans="2:6" collapsed="1" x14ac:dyDescent="0.35">
      <c r="B57" s="343">
        <v>2026</v>
      </c>
      <c r="C57" s="75">
        <v>46023</v>
      </c>
      <c r="D57" s="94">
        <f>'Carvão &amp; Total'!C7</f>
        <v>100000</v>
      </c>
      <c r="E57" s="95">
        <f>SCD!D8</f>
        <v>93049</v>
      </c>
      <c r="F57" s="96">
        <f>D57-E57</f>
        <v>6951</v>
      </c>
    </row>
    <row r="58" spans="2:6" x14ac:dyDescent="0.35">
      <c r="B58" s="343"/>
      <c r="C58" s="75">
        <v>46054</v>
      </c>
      <c r="D58" s="94">
        <f>'Carvão &amp; Total'!C8</f>
        <v>100000</v>
      </c>
      <c r="E58" s="95">
        <f>SCD!D11</f>
        <v>156953</v>
      </c>
      <c r="F58" s="96">
        <f>F57+D58-E58</f>
        <v>-50002</v>
      </c>
    </row>
    <row r="59" spans="2:6" x14ac:dyDescent="0.35">
      <c r="B59" s="343"/>
      <c r="C59" s="75">
        <v>46082</v>
      </c>
      <c r="D59" s="94">
        <f>'Carvão &amp; Total'!C9</f>
        <v>100000</v>
      </c>
      <c r="E59" s="95">
        <v>0</v>
      </c>
      <c r="F59" s="96">
        <f t="shared" ref="F59:F68" si="4">F58+D59-E59</f>
        <v>49998</v>
      </c>
    </row>
    <row r="60" spans="2:6" x14ac:dyDescent="0.35">
      <c r="B60" s="343"/>
      <c r="C60" s="75">
        <v>46113</v>
      </c>
      <c r="D60" s="94">
        <f>'Carvão &amp; Total'!C10</f>
        <v>100000</v>
      </c>
      <c r="E60" s="95">
        <v>0</v>
      </c>
      <c r="F60" s="96">
        <f t="shared" si="4"/>
        <v>149998</v>
      </c>
    </row>
    <row r="61" spans="2:6" x14ac:dyDescent="0.35">
      <c r="B61" s="343"/>
      <c r="C61" s="75">
        <v>46143</v>
      </c>
      <c r="D61" s="94">
        <f>'Carvão &amp; Total'!C11</f>
        <v>100000</v>
      </c>
      <c r="E61" s="95">
        <v>0</v>
      </c>
      <c r="F61" s="96">
        <f t="shared" si="4"/>
        <v>249998</v>
      </c>
    </row>
    <row r="62" spans="2:6" x14ac:dyDescent="0.35">
      <c r="B62" s="343"/>
      <c r="C62" s="75">
        <v>46174</v>
      </c>
      <c r="D62" s="94">
        <f>'Carvão &amp; Total'!C12</f>
        <v>100000</v>
      </c>
      <c r="E62" s="95">
        <v>0</v>
      </c>
      <c r="F62" s="96">
        <f t="shared" si="4"/>
        <v>349998</v>
      </c>
    </row>
    <row r="63" spans="2:6" x14ac:dyDescent="0.35">
      <c r="B63" s="343"/>
      <c r="C63" s="75">
        <v>46204</v>
      </c>
      <c r="D63" s="94">
        <f>'Carvão &amp; Total'!C13</f>
        <v>100000</v>
      </c>
      <c r="E63" s="95">
        <v>0</v>
      </c>
      <c r="F63" s="96">
        <f t="shared" si="4"/>
        <v>449998</v>
      </c>
    </row>
    <row r="64" spans="2:6" x14ac:dyDescent="0.35">
      <c r="B64" s="343"/>
      <c r="C64" s="75">
        <v>46235</v>
      </c>
      <c r="D64" s="94">
        <f>'Carvão &amp; Total'!C14</f>
        <v>100000</v>
      </c>
      <c r="E64" s="95">
        <v>0</v>
      </c>
      <c r="F64" s="96">
        <f t="shared" si="4"/>
        <v>549998</v>
      </c>
    </row>
    <row r="65" spans="2:6" x14ac:dyDescent="0.35">
      <c r="B65" s="343"/>
      <c r="C65" s="75">
        <v>46266</v>
      </c>
      <c r="D65" s="94">
        <f>'Carvão &amp; Total'!C15</f>
        <v>100000</v>
      </c>
      <c r="E65" s="95">
        <v>0</v>
      </c>
      <c r="F65" s="96">
        <f t="shared" si="4"/>
        <v>649998</v>
      </c>
    </row>
    <row r="66" spans="2:6" x14ac:dyDescent="0.35">
      <c r="B66" s="343"/>
      <c r="C66" s="75">
        <v>46296</v>
      </c>
      <c r="D66" s="94">
        <f>'Carvão &amp; Total'!C16</f>
        <v>100000</v>
      </c>
      <c r="E66" s="95">
        <v>0</v>
      </c>
      <c r="F66" s="96">
        <f t="shared" si="4"/>
        <v>749998</v>
      </c>
    </row>
    <row r="67" spans="2:6" x14ac:dyDescent="0.35">
      <c r="B67" s="343"/>
      <c r="C67" s="75">
        <v>46327</v>
      </c>
      <c r="D67" s="94">
        <f>'Carvão &amp; Total'!C17</f>
        <v>100000</v>
      </c>
      <c r="E67" s="95">
        <v>0</v>
      </c>
      <c r="F67" s="96">
        <f t="shared" si="4"/>
        <v>849998</v>
      </c>
    </row>
    <row r="68" spans="2:6" x14ac:dyDescent="0.35">
      <c r="B68" s="343"/>
      <c r="C68" s="75">
        <v>46357</v>
      </c>
      <c r="D68" s="94">
        <f>'Carvão &amp; Total'!C18</f>
        <v>100000</v>
      </c>
      <c r="E68" s="95">
        <v>0</v>
      </c>
      <c r="F68" s="274">
        <f t="shared" si="4"/>
        <v>949998</v>
      </c>
    </row>
    <row r="71" spans="2:6" x14ac:dyDescent="0.35">
      <c r="C71" s="266" t="s">
        <v>257</v>
      </c>
    </row>
  </sheetData>
  <mergeCells count="7">
    <mergeCell ref="B57:B68"/>
    <mergeCell ref="B45:B56"/>
    <mergeCell ref="B1:L3"/>
    <mergeCell ref="C4:L6"/>
    <mergeCell ref="B9:B20"/>
    <mergeCell ref="B21:B32"/>
    <mergeCell ref="B33:B44"/>
  </mergeCells>
  <phoneticPr fontId="3" type="noConversion"/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4">
    <tabColor theme="7" tint="0.79998168889431442"/>
  </sheetPr>
  <dimension ref="B1:K43"/>
  <sheetViews>
    <sheetView showGridLines="0" workbookViewId="0">
      <pane ySplit="5" topLeftCell="A6" activePane="bottomLeft" state="frozen"/>
      <selection pane="bottomLeft" activeCell="F17" sqref="F17"/>
    </sheetView>
  </sheetViews>
  <sheetFormatPr defaultRowHeight="14.5" x14ac:dyDescent="0.35"/>
  <cols>
    <col min="2" max="2" width="16.1796875" customWidth="1"/>
    <col min="3" max="3" width="13.54296875" customWidth="1"/>
    <col min="4" max="4" width="13.54296875" style="31" customWidth="1"/>
    <col min="5" max="5" width="15.7265625" style="31" bestFit="1" customWidth="1"/>
    <col min="6" max="6" width="19.7265625" style="31" bestFit="1" customWidth="1"/>
    <col min="7" max="7" width="17" style="30" bestFit="1" customWidth="1"/>
    <col min="8" max="8" width="18.81640625" style="30" bestFit="1" customWidth="1"/>
    <col min="9" max="9" width="10.7265625" bestFit="1" customWidth="1"/>
  </cols>
  <sheetData>
    <row r="1" spans="2:11" x14ac:dyDescent="0.35">
      <c r="B1" s="314" t="s">
        <v>268</v>
      </c>
      <c r="C1" s="315"/>
      <c r="D1" s="315"/>
      <c r="E1" s="315"/>
      <c r="F1" s="315"/>
      <c r="G1" s="315"/>
      <c r="H1" s="315"/>
    </row>
    <row r="2" spans="2:11" x14ac:dyDescent="0.35">
      <c r="B2" s="315"/>
      <c r="C2" s="315"/>
      <c r="D2" s="315"/>
      <c r="E2" s="315"/>
      <c r="F2" s="315"/>
      <c r="G2" s="315"/>
      <c r="H2" s="315"/>
    </row>
    <row r="3" spans="2:11" x14ac:dyDescent="0.35">
      <c r="B3" s="315"/>
      <c r="C3" s="315"/>
      <c r="D3" s="315"/>
      <c r="E3" s="315"/>
      <c r="F3" s="315"/>
      <c r="G3" s="315"/>
      <c r="H3" s="315"/>
    </row>
    <row r="4" spans="2:11" ht="13.5" customHeight="1" x14ac:dyDescent="0.35"/>
    <row r="5" spans="2:11" s="6" customFormat="1" ht="26.25" customHeight="1" x14ac:dyDescent="0.35">
      <c r="B5" s="162" t="s">
        <v>79</v>
      </c>
      <c r="C5" s="162" t="s">
        <v>83</v>
      </c>
      <c r="D5" s="162" t="s">
        <v>84</v>
      </c>
      <c r="E5" s="162" t="s">
        <v>85</v>
      </c>
      <c r="F5" s="162" t="s">
        <v>86</v>
      </c>
      <c r="G5" s="162" t="s">
        <v>190</v>
      </c>
      <c r="H5" s="162" t="s">
        <v>191</v>
      </c>
    </row>
    <row r="6" spans="2:11" x14ac:dyDescent="0.35">
      <c r="B6" s="87">
        <v>46023</v>
      </c>
      <c r="C6" s="87" t="s">
        <v>182</v>
      </c>
      <c r="D6" s="88">
        <v>93049</v>
      </c>
      <c r="E6" s="88">
        <v>35.86</v>
      </c>
      <c r="F6" s="88">
        <v>104.428</v>
      </c>
      <c r="G6" s="89">
        <v>0</v>
      </c>
      <c r="H6" s="89"/>
    </row>
    <row r="7" spans="2:11" x14ac:dyDescent="0.35">
      <c r="B7" s="87"/>
      <c r="C7" s="87"/>
      <c r="D7" s="235">
        <v>0</v>
      </c>
      <c r="E7" s="235">
        <v>0</v>
      </c>
      <c r="F7" s="235">
        <v>0</v>
      </c>
      <c r="G7" s="89"/>
      <c r="H7" s="89"/>
    </row>
    <row r="8" spans="2:11" ht="15" thickBot="1" x14ac:dyDescent="0.4">
      <c r="B8" s="230" t="s">
        <v>265</v>
      </c>
      <c r="C8" s="90" t="s">
        <v>87</v>
      </c>
      <c r="D8" s="267">
        <f>SUM(D6:D6)</f>
        <v>93049</v>
      </c>
      <c r="E8" s="267">
        <f>SUM(E6:E6)</f>
        <v>35.86</v>
      </c>
      <c r="F8" s="267">
        <f>SUM(F6:F6)</f>
        <v>104.428</v>
      </c>
      <c r="G8" s="91">
        <f>SUM(G6:G6)</f>
        <v>0</v>
      </c>
      <c r="H8" s="91">
        <f>SUM(H6:H6)</f>
        <v>0</v>
      </c>
    </row>
    <row r="9" spans="2:11" x14ac:dyDescent="0.35">
      <c r="B9" s="172">
        <v>46054</v>
      </c>
      <c r="C9" s="87" t="s">
        <v>182</v>
      </c>
      <c r="D9" s="88">
        <v>156953</v>
      </c>
      <c r="E9" s="88">
        <v>20.41</v>
      </c>
      <c r="F9" s="88">
        <v>502.06</v>
      </c>
      <c r="G9" s="89"/>
      <c r="H9" s="89"/>
    </row>
    <row r="10" spans="2:11" x14ac:dyDescent="0.35">
      <c r="B10" s="234"/>
      <c r="C10" s="234"/>
      <c r="D10" s="235">
        <v>0</v>
      </c>
      <c r="E10" s="235">
        <v>0</v>
      </c>
      <c r="F10" s="235">
        <v>0</v>
      </c>
      <c r="G10" s="236"/>
      <c r="H10" s="236"/>
    </row>
    <row r="11" spans="2:11" ht="15" thickBot="1" x14ac:dyDescent="0.4">
      <c r="B11" s="90">
        <v>46054</v>
      </c>
      <c r="C11" s="90" t="s">
        <v>87</v>
      </c>
      <c r="D11" s="267">
        <f>SUM(D9:D9)</f>
        <v>156953</v>
      </c>
      <c r="E11" s="267">
        <f>SUM(E9:E9)</f>
        <v>20.41</v>
      </c>
      <c r="F11" s="267">
        <f>SUM(F9:F9)</f>
        <v>502.06</v>
      </c>
      <c r="G11" s="91">
        <f>SUM(G9:G9)</f>
        <v>0</v>
      </c>
      <c r="H11" s="91">
        <f>SUM(H9:H9)</f>
        <v>0</v>
      </c>
      <c r="K11" s="10"/>
    </row>
    <row r="12" spans="2:11" ht="15" thickTop="1" x14ac:dyDescent="0.35">
      <c r="B12" s="87">
        <v>46082</v>
      </c>
      <c r="C12" s="87" t="s">
        <v>182</v>
      </c>
      <c r="D12" s="88">
        <v>0</v>
      </c>
      <c r="E12" s="88">
        <v>0</v>
      </c>
      <c r="F12" s="88">
        <v>0</v>
      </c>
      <c r="G12" s="88"/>
      <c r="H12" s="89"/>
    </row>
    <row r="13" spans="2:11" x14ac:dyDescent="0.35">
      <c r="B13" s="234"/>
      <c r="C13" s="234"/>
      <c r="D13" s="235">
        <v>0</v>
      </c>
      <c r="E13" s="235">
        <v>0</v>
      </c>
      <c r="F13" s="235">
        <v>0</v>
      </c>
      <c r="G13" s="235"/>
      <c r="H13" s="236"/>
    </row>
    <row r="14" spans="2:11" ht="15" thickBot="1" x14ac:dyDescent="0.4">
      <c r="B14" s="90">
        <v>46082</v>
      </c>
      <c r="C14" s="90" t="s">
        <v>87</v>
      </c>
      <c r="D14" s="267">
        <f t="shared" ref="D14:F14" si="0">SUM(D12:D12)</f>
        <v>0</v>
      </c>
      <c r="E14" s="267">
        <f t="shared" si="0"/>
        <v>0</v>
      </c>
      <c r="F14" s="267">
        <f t="shared" si="0"/>
        <v>0</v>
      </c>
      <c r="G14" s="91">
        <f>SUM(G12:G12)</f>
        <v>0</v>
      </c>
      <c r="H14" s="91">
        <f>SUM(H12:H12)</f>
        <v>0</v>
      </c>
    </row>
    <row r="15" spans="2:11" ht="15" thickTop="1" x14ac:dyDescent="0.35">
      <c r="B15" s="87">
        <v>46113</v>
      </c>
      <c r="C15" s="87" t="s">
        <v>182</v>
      </c>
      <c r="D15" s="88">
        <v>0</v>
      </c>
      <c r="E15" s="88">
        <v>0</v>
      </c>
      <c r="F15" s="88">
        <v>0</v>
      </c>
      <c r="G15" s="88"/>
      <c r="H15" s="89"/>
    </row>
    <row r="16" spans="2:11" x14ac:dyDescent="0.35">
      <c r="B16" s="234"/>
      <c r="C16" s="234"/>
      <c r="D16" s="235">
        <v>0</v>
      </c>
      <c r="E16" s="235">
        <v>0</v>
      </c>
      <c r="F16" s="235">
        <v>0</v>
      </c>
      <c r="G16" s="235"/>
      <c r="H16" s="236"/>
    </row>
    <row r="17" spans="2:8" ht="15" thickBot="1" x14ac:dyDescent="0.4">
      <c r="B17" s="90">
        <v>46113</v>
      </c>
      <c r="C17" s="90" t="s">
        <v>87</v>
      </c>
      <c r="D17" s="267">
        <f t="shared" ref="D17:F17" si="1">SUM(D15:D15)</f>
        <v>0</v>
      </c>
      <c r="E17" s="267">
        <f t="shared" si="1"/>
        <v>0</v>
      </c>
      <c r="F17" s="267">
        <f t="shared" si="1"/>
        <v>0</v>
      </c>
      <c r="G17" s="91">
        <f>SUM(G15:G15)</f>
        <v>0</v>
      </c>
      <c r="H17" s="91">
        <f>SUM(H15:H15)</f>
        <v>0</v>
      </c>
    </row>
    <row r="18" spans="2:8" ht="15" thickTop="1" x14ac:dyDescent="0.35">
      <c r="B18" s="87">
        <v>46143</v>
      </c>
      <c r="C18" s="87" t="s">
        <v>182</v>
      </c>
      <c r="D18" s="88">
        <v>0</v>
      </c>
      <c r="E18" s="88">
        <v>0</v>
      </c>
      <c r="F18" s="88">
        <v>0</v>
      </c>
      <c r="G18" s="89"/>
      <c r="H18" s="89"/>
    </row>
    <row r="19" spans="2:8" x14ac:dyDescent="0.35">
      <c r="B19" s="234"/>
      <c r="C19" s="234"/>
      <c r="D19" s="235">
        <v>0</v>
      </c>
      <c r="E19" s="235">
        <v>0</v>
      </c>
      <c r="F19" s="235">
        <v>0</v>
      </c>
      <c r="G19" s="236"/>
      <c r="H19" s="236"/>
    </row>
    <row r="20" spans="2:8" ht="15" thickBot="1" x14ac:dyDescent="0.4">
      <c r="B20" s="90">
        <v>46173</v>
      </c>
      <c r="C20" s="90" t="s">
        <v>87</v>
      </c>
      <c r="D20" s="267">
        <f t="shared" ref="D20:F20" si="2">SUM(D18:D18)</f>
        <v>0</v>
      </c>
      <c r="E20" s="267">
        <f t="shared" si="2"/>
        <v>0</v>
      </c>
      <c r="F20" s="267">
        <f t="shared" si="2"/>
        <v>0</v>
      </c>
      <c r="G20" s="91">
        <f>SUM(G18:G18)</f>
        <v>0</v>
      </c>
      <c r="H20" s="91">
        <f>SUM(H18:H18)</f>
        <v>0</v>
      </c>
    </row>
    <row r="21" spans="2:8" ht="15" thickTop="1" x14ac:dyDescent="0.35">
      <c r="B21" s="172">
        <v>46174</v>
      </c>
      <c r="C21" s="87" t="s">
        <v>182</v>
      </c>
      <c r="D21" s="88">
        <v>0</v>
      </c>
      <c r="E21" s="88">
        <v>0</v>
      </c>
      <c r="F21" s="88">
        <v>0</v>
      </c>
      <c r="G21" s="89"/>
      <c r="H21" s="89"/>
    </row>
    <row r="22" spans="2:8" x14ac:dyDescent="0.35">
      <c r="B22" s="234"/>
      <c r="C22" s="234"/>
      <c r="D22" s="235">
        <v>0</v>
      </c>
      <c r="E22" s="235">
        <v>0</v>
      </c>
      <c r="F22" s="235">
        <v>0</v>
      </c>
      <c r="G22" s="236"/>
      <c r="H22" s="236"/>
    </row>
    <row r="23" spans="2:8" ht="15" thickBot="1" x14ac:dyDescent="0.4">
      <c r="B23" s="90">
        <v>46174</v>
      </c>
      <c r="C23" s="90" t="s">
        <v>87</v>
      </c>
      <c r="D23" s="267">
        <f t="shared" ref="D23:F23" si="3">SUM(D21:D21)</f>
        <v>0</v>
      </c>
      <c r="E23" s="267">
        <f t="shared" si="3"/>
        <v>0</v>
      </c>
      <c r="F23" s="267">
        <f t="shared" si="3"/>
        <v>0</v>
      </c>
      <c r="G23" s="91">
        <f>SUM(G21:G21)</f>
        <v>0</v>
      </c>
      <c r="H23" s="91">
        <f>SUM(H21:H21)</f>
        <v>0</v>
      </c>
    </row>
    <row r="24" spans="2:8" ht="15" thickTop="1" x14ac:dyDescent="0.35">
      <c r="B24" s="87">
        <v>46204</v>
      </c>
      <c r="C24" s="87" t="s">
        <v>182</v>
      </c>
      <c r="D24" s="88">
        <v>0</v>
      </c>
      <c r="E24" s="88">
        <v>0</v>
      </c>
      <c r="F24" s="88">
        <v>0</v>
      </c>
      <c r="G24" s="89"/>
      <c r="H24" s="89"/>
    </row>
    <row r="25" spans="2:8" x14ac:dyDescent="0.35">
      <c r="B25" s="75"/>
      <c r="C25" s="75"/>
      <c r="D25" s="235">
        <v>0</v>
      </c>
      <c r="E25" s="235">
        <v>0</v>
      </c>
      <c r="F25" s="235">
        <v>0</v>
      </c>
      <c r="G25" s="76"/>
      <c r="H25" s="76"/>
    </row>
    <row r="26" spans="2:8" ht="15" thickBot="1" x14ac:dyDescent="0.4">
      <c r="B26" s="90">
        <v>46234</v>
      </c>
      <c r="C26" s="90" t="s">
        <v>87</v>
      </c>
      <c r="D26" s="267">
        <f t="shared" ref="D26:F26" si="4">SUM(D24:D24)</f>
        <v>0</v>
      </c>
      <c r="E26" s="267">
        <f t="shared" si="4"/>
        <v>0</v>
      </c>
      <c r="F26" s="267">
        <f t="shared" si="4"/>
        <v>0</v>
      </c>
      <c r="G26" s="91">
        <f>SUM(G24:G25)</f>
        <v>0</v>
      </c>
      <c r="H26" s="91">
        <f>SUM(H24:H25)</f>
        <v>0</v>
      </c>
    </row>
    <row r="27" spans="2:8" ht="15" thickTop="1" x14ac:dyDescent="0.35">
      <c r="B27" s="87">
        <v>46235</v>
      </c>
      <c r="C27" s="87" t="s">
        <v>182</v>
      </c>
      <c r="D27" s="88">
        <v>0</v>
      </c>
      <c r="E27" s="88">
        <v>0</v>
      </c>
      <c r="F27" s="88">
        <v>0</v>
      </c>
      <c r="G27" s="89"/>
      <c r="H27" s="89"/>
    </row>
    <row r="28" spans="2:8" x14ac:dyDescent="0.35">
      <c r="B28" s="75"/>
      <c r="C28" s="75"/>
      <c r="D28" s="235">
        <v>0</v>
      </c>
      <c r="E28" s="235">
        <v>0</v>
      </c>
      <c r="F28" s="235">
        <v>0</v>
      </c>
      <c r="G28" s="76"/>
      <c r="H28" s="76"/>
    </row>
    <row r="29" spans="2:8" ht="15" thickBot="1" x14ac:dyDescent="0.4">
      <c r="B29" s="90">
        <v>46265</v>
      </c>
      <c r="C29" s="90" t="s">
        <v>87</v>
      </c>
      <c r="D29" s="267">
        <f t="shared" ref="D29:F29" si="5">SUM(D27:D27)</f>
        <v>0</v>
      </c>
      <c r="E29" s="267">
        <f t="shared" si="5"/>
        <v>0</v>
      </c>
      <c r="F29" s="267">
        <f t="shared" si="5"/>
        <v>0</v>
      </c>
      <c r="G29" s="91">
        <f>SUM(G27:G28)</f>
        <v>0</v>
      </c>
      <c r="H29" s="91">
        <f>SUM(H27:H28)</f>
        <v>0</v>
      </c>
    </row>
    <row r="30" spans="2:8" ht="15" thickTop="1" x14ac:dyDescent="0.35">
      <c r="B30" s="87">
        <v>46266</v>
      </c>
      <c r="C30" s="87" t="s">
        <v>182</v>
      </c>
      <c r="D30" s="88">
        <v>0</v>
      </c>
      <c r="E30" s="88">
        <v>0</v>
      </c>
      <c r="F30" s="88">
        <v>0</v>
      </c>
      <c r="G30" s="89"/>
      <c r="H30" s="89"/>
    </row>
    <row r="31" spans="2:8" x14ac:dyDescent="0.35">
      <c r="B31" s="75"/>
      <c r="C31" s="75"/>
      <c r="D31" s="235">
        <v>0</v>
      </c>
      <c r="E31" s="235">
        <v>0</v>
      </c>
      <c r="F31" s="235">
        <v>0</v>
      </c>
      <c r="G31" s="76"/>
      <c r="H31" s="76"/>
    </row>
    <row r="32" spans="2:8" ht="15" thickBot="1" x14ac:dyDescent="0.4">
      <c r="B32" s="233">
        <v>46267</v>
      </c>
      <c r="C32" s="90" t="s">
        <v>87</v>
      </c>
      <c r="D32" s="267">
        <f t="shared" ref="D32:F32" si="6">SUM(D30:D30)</f>
        <v>0</v>
      </c>
      <c r="E32" s="267">
        <f t="shared" si="6"/>
        <v>0</v>
      </c>
      <c r="F32" s="267">
        <f t="shared" si="6"/>
        <v>0</v>
      </c>
      <c r="G32" s="91">
        <f>SUM(G30:G31)</f>
        <v>0</v>
      </c>
      <c r="H32" s="91">
        <f>SUM(H30:H31)</f>
        <v>0</v>
      </c>
    </row>
    <row r="33" spans="2:8" ht="15" thickTop="1" x14ac:dyDescent="0.35">
      <c r="B33" s="172">
        <v>46296</v>
      </c>
      <c r="C33" s="87" t="s">
        <v>182</v>
      </c>
      <c r="D33" s="88">
        <v>0</v>
      </c>
      <c r="E33" s="88">
        <v>0</v>
      </c>
      <c r="F33" s="88">
        <v>0</v>
      </c>
      <c r="G33" s="89"/>
      <c r="H33" s="89"/>
    </row>
    <row r="34" spans="2:8" x14ac:dyDescent="0.35">
      <c r="B34" s="75"/>
      <c r="C34" s="75"/>
      <c r="D34" s="235">
        <v>0</v>
      </c>
      <c r="E34" s="235">
        <v>0</v>
      </c>
      <c r="F34" s="235">
        <v>0</v>
      </c>
      <c r="G34" s="76"/>
      <c r="H34" s="76"/>
    </row>
    <row r="35" spans="2:8" ht="15" thickBot="1" x14ac:dyDescent="0.4">
      <c r="B35" s="231">
        <v>46296</v>
      </c>
      <c r="C35" s="90" t="s">
        <v>87</v>
      </c>
      <c r="D35" s="267">
        <f t="shared" ref="D35:F35" si="7">SUM(D33:D33)</f>
        <v>0</v>
      </c>
      <c r="E35" s="267">
        <f t="shared" si="7"/>
        <v>0</v>
      </c>
      <c r="F35" s="267">
        <f t="shared" si="7"/>
        <v>0</v>
      </c>
      <c r="G35" s="91">
        <f>SUM(G33:G34)</f>
        <v>0</v>
      </c>
      <c r="H35" s="91">
        <f>SUM(H33:H34)</f>
        <v>0</v>
      </c>
    </row>
    <row r="36" spans="2:8" ht="15" thickTop="1" x14ac:dyDescent="0.35">
      <c r="B36" s="172">
        <v>46327</v>
      </c>
      <c r="C36" s="87" t="s">
        <v>182</v>
      </c>
      <c r="D36" s="88">
        <v>0</v>
      </c>
      <c r="E36" s="88">
        <v>0</v>
      </c>
      <c r="F36" s="88">
        <v>0</v>
      </c>
      <c r="G36" s="89"/>
      <c r="H36" s="89"/>
    </row>
    <row r="37" spans="2:8" x14ac:dyDescent="0.35">
      <c r="B37" s="75"/>
      <c r="C37" s="75"/>
      <c r="D37" s="235">
        <v>0</v>
      </c>
      <c r="E37" s="235">
        <v>0</v>
      </c>
      <c r="F37" s="235">
        <v>0</v>
      </c>
      <c r="G37" s="76"/>
      <c r="H37" s="76"/>
    </row>
    <row r="38" spans="2:8" ht="15" thickBot="1" x14ac:dyDescent="0.4">
      <c r="B38" s="232" t="s">
        <v>266</v>
      </c>
      <c r="C38" s="90" t="s">
        <v>87</v>
      </c>
      <c r="D38" s="267">
        <f t="shared" ref="D38:F38" si="8">SUM(D36:D36)</f>
        <v>0</v>
      </c>
      <c r="E38" s="267">
        <f t="shared" si="8"/>
        <v>0</v>
      </c>
      <c r="F38" s="267">
        <f t="shared" si="8"/>
        <v>0</v>
      </c>
      <c r="G38" s="91">
        <f>SUM(G36:G37)</f>
        <v>0</v>
      </c>
      <c r="H38" s="91">
        <f>SUM(H36:H37)</f>
        <v>0</v>
      </c>
    </row>
    <row r="39" spans="2:8" ht="15" thickTop="1" x14ac:dyDescent="0.35">
      <c r="B39" s="172">
        <v>46357</v>
      </c>
      <c r="C39" s="87" t="s">
        <v>182</v>
      </c>
      <c r="D39" s="88">
        <v>0</v>
      </c>
      <c r="E39" s="88">
        <v>0</v>
      </c>
      <c r="F39" s="88">
        <v>0</v>
      </c>
      <c r="G39" s="89"/>
      <c r="H39" s="89"/>
    </row>
    <row r="40" spans="2:8" x14ac:dyDescent="0.35">
      <c r="B40" s="75"/>
      <c r="C40" s="75"/>
      <c r="D40" s="235">
        <v>0</v>
      </c>
      <c r="E40" s="235">
        <v>0</v>
      </c>
      <c r="F40" s="235">
        <v>0</v>
      </c>
      <c r="G40" s="76"/>
      <c r="H40" s="76"/>
    </row>
    <row r="41" spans="2:8" ht="15" thickBot="1" x14ac:dyDescent="0.4">
      <c r="B41" s="90">
        <v>46387</v>
      </c>
      <c r="C41" s="90" t="s">
        <v>87</v>
      </c>
      <c r="D41" s="267">
        <f t="shared" ref="D41:F41" si="9">SUM(D39:D39)</f>
        <v>0</v>
      </c>
      <c r="E41" s="267">
        <f t="shared" si="9"/>
        <v>0</v>
      </c>
      <c r="F41" s="267">
        <f t="shared" si="9"/>
        <v>0</v>
      </c>
      <c r="G41" s="91">
        <f>SUM(G39:G40)</f>
        <v>0</v>
      </c>
      <c r="H41" s="91">
        <f>SUM(H39:H40)</f>
        <v>0</v>
      </c>
    </row>
    <row r="42" spans="2:8" ht="15" thickTop="1" x14ac:dyDescent="0.35"/>
    <row r="43" spans="2:8" x14ac:dyDescent="0.35">
      <c r="B43" s="266" t="s">
        <v>256</v>
      </c>
    </row>
  </sheetData>
  <mergeCells count="1">
    <mergeCell ref="B1:H3"/>
  </mergeCells>
  <phoneticPr fontId="3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11F4F-8E88-47AB-9D90-11347CE7E96C}">
  <dimension ref="B1:L33"/>
  <sheetViews>
    <sheetView showGridLines="0" topLeftCell="E1" zoomScale="70" zoomScaleNormal="70" workbookViewId="0">
      <selection activeCell="L13" sqref="L13"/>
    </sheetView>
  </sheetViews>
  <sheetFormatPr defaultRowHeight="14.5" x14ac:dyDescent="0.35"/>
  <cols>
    <col min="1" max="1" width="3.81640625" customWidth="1"/>
    <col min="2" max="2" width="10.26953125" bestFit="1" customWidth="1"/>
    <col min="3" max="3" width="16.81640625" bestFit="1" customWidth="1"/>
    <col min="4" max="4" width="12" customWidth="1"/>
    <col min="5" max="5" width="115" bestFit="1" customWidth="1"/>
    <col min="6" max="6" width="14.26953125" customWidth="1"/>
    <col min="7" max="7" width="20.36328125" style="39" customWidth="1"/>
    <col min="8" max="8" width="23.54296875" style="39" customWidth="1"/>
    <col min="9" max="9" width="18.7265625" style="39" customWidth="1"/>
    <col min="10" max="10" width="14.7265625" customWidth="1"/>
    <col min="11" max="11" width="17.1796875" style="39" customWidth="1"/>
    <col min="12" max="12" width="11.453125" bestFit="1" customWidth="1"/>
  </cols>
  <sheetData>
    <row r="1" spans="2:12" x14ac:dyDescent="0.35">
      <c r="B1" s="345" t="s">
        <v>269</v>
      </c>
      <c r="C1" s="345"/>
      <c r="D1" s="345"/>
      <c r="E1" s="345"/>
      <c r="F1" s="345"/>
      <c r="G1" s="345"/>
      <c r="H1" s="345"/>
      <c r="I1" s="345"/>
      <c r="J1" s="345"/>
      <c r="K1" s="345"/>
    </row>
    <row r="2" spans="2:12" x14ac:dyDescent="0.35">
      <c r="B2" s="345"/>
      <c r="C2" s="345"/>
      <c r="D2" s="345"/>
      <c r="E2" s="345"/>
      <c r="F2" s="345"/>
      <c r="G2" s="345"/>
      <c r="H2" s="345"/>
      <c r="I2" s="345"/>
      <c r="J2" s="345"/>
      <c r="K2" s="345"/>
    </row>
    <row r="3" spans="2:12" x14ac:dyDescent="0.35">
      <c r="B3" s="345"/>
      <c r="C3" s="345"/>
      <c r="D3" s="345"/>
      <c r="E3" s="345"/>
      <c r="F3" s="345"/>
      <c r="G3" s="345"/>
      <c r="H3" s="345"/>
      <c r="I3" s="345"/>
      <c r="J3" s="345"/>
      <c r="K3" s="345"/>
    </row>
    <row r="5" spans="2:12" s="4" customFormat="1" ht="43.5" x14ac:dyDescent="0.35">
      <c r="B5" s="155" t="s">
        <v>108</v>
      </c>
      <c r="C5" s="155" t="s">
        <v>50</v>
      </c>
      <c r="D5" s="155" t="s">
        <v>57</v>
      </c>
      <c r="E5" s="155" t="s">
        <v>32</v>
      </c>
      <c r="F5" s="155" t="s">
        <v>51</v>
      </c>
      <c r="G5" s="155" t="s">
        <v>53</v>
      </c>
      <c r="H5" s="155" t="s">
        <v>54</v>
      </c>
      <c r="I5" s="74" t="s">
        <v>52</v>
      </c>
      <c r="J5" s="155" t="s">
        <v>119</v>
      </c>
      <c r="K5" s="74" t="s">
        <v>55</v>
      </c>
    </row>
    <row r="6" spans="2:12" x14ac:dyDescent="0.35">
      <c r="B6" s="269">
        <v>45962</v>
      </c>
      <c r="C6" s="270" t="s">
        <v>279</v>
      </c>
      <c r="D6" s="270">
        <v>1</v>
      </c>
      <c r="E6" s="270" t="s">
        <v>280</v>
      </c>
      <c r="F6" s="271" t="s">
        <v>208</v>
      </c>
      <c r="G6" s="273">
        <v>13320543.804973498</v>
      </c>
      <c r="H6" s="273">
        <v>13320543.804973498</v>
      </c>
      <c r="I6" s="282">
        <f>H6-G6</f>
        <v>0</v>
      </c>
      <c r="J6" s="270"/>
      <c r="K6" s="282">
        <f t="shared" ref="K6" si="0">IF(J6&gt;1,I6*J6,I6)</f>
        <v>0</v>
      </c>
      <c r="L6" s="39"/>
    </row>
    <row r="7" spans="2:12" x14ac:dyDescent="0.35">
      <c r="B7" s="269">
        <v>45962</v>
      </c>
      <c r="C7" s="270" t="s">
        <v>281</v>
      </c>
      <c r="D7" s="270">
        <v>1</v>
      </c>
      <c r="E7" s="270" t="s">
        <v>282</v>
      </c>
      <c r="F7" s="271">
        <v>46068</v>
      </c>
      <c r="G7" s="273">
        <v>1169888.29</v>
      </c>
      <c r="H7" s="273">
        <f>'[1]Carvão &amp; Total'!L4</f>
        <v>0</v>
      </c>
      <c r="I7" s="282">
        <f>H7-G7</f>
        <v>-1169888.29</v>
      </c>
      <c r="J7" s="270">
        <v>1.0033000000000001</v>
      </c>
      <c r="K7" s="282">
        <f t="shared" ref="K7:K12" si="1">I7*J7</f>
        <v>-1173748.9213570002</v>
      </c>
    </row>
    <row r="8" spans="2:12" x14ac:dyDescent="0.35">
      <c r="B8" s="269">
        <v>45962</v>
      </c>
      <c r="C8" s="270" t="s">
        <v>283</v>
      </c>
      <c r="D8" s="270">
        <v>1</v>
      </c>
      <c r="E8" s="270" t="s">
        <v>284</v>
      </c>
      <c r="F8" s="271">
        <v>46068</v>
      </c>
      <c r="G8" s="273">
        <v>4935643.3</v>
      </c>
      <c r="H8" s="273">
        <f>'[1]Carvão &amp; Total'!M4</f>
        <v>0</v>
      </c>
      <c r="I8" s="282">
        <f t="shared" ref="I8:I10" si="2">H8-G8</f>
        <v>-4935643.3</v>
      </c>
      <c r="J8" s="270">
        <v>1.0033000000000001</v>
      </c>
      <c r="K8" s="282">
        <f t="shared" si="1"/>
        <v>-4951930.92289</v>
      </c>
    </row>
    <row r="9" spans="2:12" x14ac:dyDescent="0.35">
      <c r="B9" s="269">
        <v>45992</v>
      </c>
      <c r="C9" s="270" t="s">
        <v>279</v>
      </c>
      <c r="D9" s="270">
        <v>1</v>
      </c>
      <c r="E9" s="270" t="s">
        <v>285</v>
      </c>
      <c r="F9" s="271" t="s">
        <v>208</v>
      </c>
      <c r="G9" s="273">
        <v>13320543.804973498</v>
      </c>
      <c r="H9" s="273">
        <v>13320543.804973498</v>
      </c>
      <c r="I9" s="282">
        <f t="shared" si="2"/>
        <v>0</v>
      </c>
      <c r="J9" s="270"/>
      <c r="K9" s="282">
        <f t="shared" si="1"/>
        <v>0</v>
      </c>
    </row>
    <row r="10" spans="2:12" x14ac:dyDescent="0.35">
      <c r="B10" s="269">
        <v>45992</v>
      </c>
      <c r="C10" s="270" t="s">
        <v>283</v>
      </c>
      <c r="D10" s="270">
        <v>1</v>
      </c>
      <c r="E10" s="270" t="s">
        <v>286</v>
      </c>
      <c r="F10" s="271">
        <v>46068</v>
      </c>
      <c r="G10" s="273">
        <v>1772395.15</v>
      </c>
      <c r="H10" s="273">
        <v>697039.44</v>
      </c>
      <c r="I10" s="282">
        <f t="shared" si="2"/>
        <v>-1075355.71</v>
      </c>
      <c r="J10" s="270">
        <v>1.0033000000000001</v>
      </c>
      <c r="K10" s="282">
        <f t="shared" si="1"/>
        <v>-1078904.383843</v>
      </c>
    </row>
    <row r="11" spans="2:12" x14ac:dyDescent="0.35">
      <c r="B11" s="269">
        <v>46023</v>
      </c>
      <c r="C11" s="270" t="s">
        <v>279</v>
      </c>
      <c r="D11" s="270">
        <v>1</v>
      </c>
      <c r="E11" s="270" t="s">
        <v>287</v>
      </c>
      <c r="F11" s="271">
        <v>46097</v>
      </c>
      <c r="G11" s="291">
        <v>13726000</v>
      </c>
      <c r="H11" s="273">
        <f>'Carvão &amp; Total'!K7</f>
        <v>13726000</v>
      </c>
      <c r="I11" s="291">
        <f>H11-G11</f>
        <v>0</v>
      </c>
      <c r="J11" s="270"/>
      <c r="K11" s="282">
        <f t="shared" si="1"/>
        <v>0</v>
      </c>
    </row>
    <row r="12" spans="2:12" x14ac:dyDescent="0.35">
      <c r="B12" s="269">
        <v>46023</v>
      </c>
      <c r="C12" s="270" t="s">
        <v>281</v>
      </c>
      <c r="D12" s="270">
        <v>1</v>
      </c>
      <c r="E12" s="270" t="s">
        <v>288</v>
      </c>
      <c r="F12" s="271">
        <v>46097</v>
      </c>
      <c r="G12" s="291">
        <v>140.29</v>
      </c>
      <c r="H12" s="273">
        <f>'Carvão &amp; Total'!M7</f>
        <v>144372.35999999999</v>
      </c>
      <c r="I12" s="291">
        <f>H12-G12</f>
        <v>144232.06999999998</v>
      </c>
      <c r="J12" s="270">
        <v>1.0069999999999999</v>
      </c>
      <c r="K12" s="282">
        <f t="shared" si="1"/>
        <v>145241.69448999997</v>
      </c>
      <c r="L12" s="39"/>
    </row>
    <row r="13" spans="2:12" x14ac:dyDescent="0.35">
      <c r="B13" s="269">
        <v>46023</v>
      </c>
      <c r="C13" s="270" t="s">
        <v>283</v>
      </c>
      <c r="D13" s="270">
        <v>1</v>
      </c>
      <c r="E13" s="270" t="s">
        <v>289</v>
      </c>
      <c r="F13" s="271">
        <v>46097</v>
      </c>
      <c r="G13" s="291">
        <v>61977.94</v>
      </c>
      <c r="H13" s="273">
        <f>'Carvão &amp; Total'!L7</f>
        <v>296082.78999999998</v>
      </c>
      <c r="I13" s="291">
        <f t="shared" ref="I13" si="3">H13-G13</f>
        <v>234104.84999999998</v>
      </c>
      <c r="J13" s="270">
        <v>1.0069999999999999</v>
      </c>
      <c r="K13" s="282">
        <f>I13*J13</f>
        <v>235743.58394999994</v>
      </c>
      <c r="L13" s="39"/>
    </row>
    <row r="14" spans="2:12" x14ac:dyDescent="0.35">
      <c r="B14" s="269"/>
      <c r="C14" s="270"/>
      <c r="D14" s="270"/>
      <c r="E14" s="270"/>
      <c r="F14" s="271"/>
      <c r="G14" s="272"/>
      <c r="H14" s="272"/>
      <c r="I14" s="282"/>
      <c r="J14" s="270"/>
      <c r="K14" s="282"/>
    </row>
    <row r="15" spans="2:12" x14ac:dyDescent="0.35">
      <c r="B15" s="269"/>
      <c r="C15" s="270"/>
      <c r="D15" s="270"/>
      <c r="E15" s="270"/>
      <c r="F15" s="271"/>
      <c r="G15" s="272"/>
      <c r="H15" s="272"/>
      <c r="I15" s="282"/>
      <c r="J15" s="270"/>
      <c r="K15" s="282"/>
    </row>
    <row r="16" spans="2:12" x14ac:dyDescent="0.35">
      <c r="B16" s="269"/>
      <c r="C16" s="270"/>
      <c r="D16" s="270"/>
      <c r="E16" s="270"/>
      <c r="F16" s="271"/>
      <c r="G16" s="272"/>
      <c r="H16" s="272"/>
      <c r="I16" s="282"/>
      <c r="J16" s="270"/>
      <c r="K16" s="282"/>
    </row>
    <row r="17" spans="2:12" x14ac:dyDescent="0.35">
      <c r="B17" s="269"/>
      <c r="C17" s="270"/>
      <c r="D17" s="270"/>
      <c r="E17" s="270"/>
      <c r="F17" s="271"/>
      <c r="G17" s="272"/>
      <c r="H17" s="272"/>
      <c r="I17" s="282"/>
      <c r="J17" s="270"/>
      <c r="K17" s="282"/>
    </row>
    <row r="18" spans="2:12" x14ac:dyDescent="0.35">
      <c r="B18" s="269"/>
      <c r="C18" s="270"/>
      <c r="D18" s="270"/>
      <c r="E18" s="270"/>
      <c r="F18" s="271"/>
      <c r="G18" s="273"/>
      <c r="H18" s="273"/>
      <c r="I18" s="282"/>
      <c r="J18" s="270"/>
      <c r="K18" s="282"/>
    </row>
    <row r="19" spans="2:12" x14ac:dyDescent="0.35">
      <c r="B19" s="269"/>
      <c r="C19" s="270"/>
      <c r="D19" s="270"/>
      <c r="E19" s="270"/>
      <c r="F19" s="271"/>
      <c r="G19" s="273"/>
      <c r="H19" s="273"/>
      <c r="I19" s="282"/>
      <c r="J19" s="270"/>
      <c r="K19" s="282"/>
    </row>
    <row r="20" spans="2:12" x14ac:dyDescent="0.35">
      <c r="B20" s="269"/>
      <c r="C20" s="270"/>
      <c r="D20" s="270"/>
      <c r="E20" s="270"/>
      <c r="F20" s="271"/>
      <c r="G20" s="273"/>
      <c r="H20" s="273"/>
      <c r="I20" s="282"/>
      <c r="J20" s="270"/>
      <c r="K20" s="282"/>
    </row>
    <row r="21" spans="2:12" x14ac:dyDescent="0.35">
      <c r="B21" s="269"/>
      <c r="C21" s="270"/>
      <c r="D21" s="270"/>
      <c r="E21" s="270"/>
      <c r="F21" s="271"/>
      <c r="G21" s="273"/>
      <c r="H21" s="273"/>
      <c r="I21" s="282"/>
      <c r="J21" s="270"/>
      <c r="K21" s="282"/>
    </row>
    <row r="22" spans="2:12" x14ac:dyDescent="0.35">
      <c r="B22" s="269"/>
      <c r="C22" s="270"/>
      <c r="D22" s="270"/>
      <c r="E22" s="270"/>
      <c r="F22" s="271"/>
      <c r="G22" s="273"/>
      <c r="H22" s="273"/>
      <c r="I22" s="282"/>
      <c r="J22" s="270"/>
      <c r="K22" s="282"/>
    </row>
    <row r="23" spans="2:12" x14ac:dyDescent="0.35">
      <c r="B23" s="75"/>
      <c r="C23" s="76"/>
      <c r="D23" s="270"/>
      <c r="E23" s="270"/>
      <c r="F23" s="271"/>
      <c r="G23" s="272"/>
      <c r="H23" s="272"/>
      <c r="I23" s="282"/>
      <c r="J23" s="270"/>
      <c r="K23" s="282"/>
    </row>
    <row r="24" spans="2:12" x14ac:dyDescent="0.35">
      <c r="B24" s="75"/>
      <c r="C24" s="76"/>
      <c r="D24" s="270"/>
      <c r="E24" s="270"/>
      <c r="F24" s="271"/>
      <c r="G24" s="272"/>
      <c r="H24" s="272"/>
      <c r="I24" s="282"/>
      <c r="J24" s="270"/>
      <c r="K24" s="282"/>
    </row>
    <row r="25" spans="2:12" x14ac:dyDescent="0.35">
      <c r="F25" s="39"/>
      <c r="J25" s="39"/>
      <c r="L25" s="39"/>
    </row>
    <row r="26" spans="2:12" x14ac:dyDescent="0.35">
      <c r="B26" s="266" t="s">
        <v>256</v>
      </c>
      <c r="F26" s="39"/>
      <c r="J26" s="39"/>
    </row>
    <row r="27" spans="2:12" x14ac:dyDescent="0.35">
      <c r="F27" s="39"/>
      <c r="J27" s="39"/>
    </row>
    <row r="28" spans="2:12" x14ac:dyDescent="0.35">
      <c r="F28" s="39"/>
      <c r="J28" s="39"/>
    </row>
    <row r="29" spans="2:12" x14ac:dyDescent="0.35">
      <c r="F29" s="39"/>
      <c r="J29" s="39"/>
    </row>
    <row r="30" spans="2:12" x14ac:dyDescent="0.35">
      <c r="F30" s="39"/>
      <c r="J30" s="39"/>
    </row>
    <row r="31" spans="2:12" x14ac:dyDescent="0.35">
      <c r="F31" s="39"/>
      <c r="J31" s="39"/>
    </row>
    <row r="32" spans="2:12" x14ac:dyDescent="0.35">
      <c r="B32" s="70"/>
      <c r="F32" s="39"/>
      <c r="J32" s="39"/>
    </row>
    <row r="33" spans="6:10" x14ac:dyDescent="0.35">
      <c r="F33" s="39"/>
      <c r="J33" s="39"/>
    </row>
  </sheetData>
  <mergeCells count="1">
    <mergeCell ref="B1:K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95515-72D7-4537-BE63-4780DBD713FA}">
  <dimension ref="B1:U56"/>
  <sheetViews>
    <sheetView showGridLines="0" zoomScale="70" zoomScaleNormal="70" workbookViewId="0">
      <selection activeCell="G22" sqref="G22"/>
    </sheetView>
  </sheetViews>
  <sheetFormatPr defaultRowHeight="14.5" x14ac:dyDescent="0.35"/>
  <cols>
    <col min="1" max="1" width="2.7265625" customWidth="1"/>
    <col min="2" max="3" width="12.81640625" customWidth="1"/>
    <col min="4" max="4" width="35" bestFit="1" customWidth="1"/>
    <col min="5" max="6" width="16.81640625" customWidth="1"/>
    <col min="7" max="7" width="23.26953125" style="39" bestFit="1" customWidth="1"/>
    <col min="8" max="8" width="14.54296875" bestFit="1" customWidth="1"/>
    <col min="9" max="9" width="16.26953125" style="39" bestFit="1" customWidth="1"/>
    <col min="10" max="10" width="18" style="39" bestFit="1" customWidth="1"/>
    <col min="11" max="11" width="18.453125" customWidth="1"/>
    <col min="12" max="12" width="16.81640625" bestFit="1" customWidth="1"/>
    <col min="13" max="13" width="18" bestFit="1" customWidth="1"/>
    <col min="14" max="14" width="13.7265625" bestFit="1" customWidth="1"/>
    <col min="15" max="15" width="18" bestFit="1" customWidth="1"/>
    <col min="16" max="16" width="14.26953125" bestFit="1" customWidth="1"/>
    <col min="17" max="17" width="11.81640625" customWidth="1"/>
    <col min="18" max="18" width="18" bestFit="1" customWidth="1"/>
    <col min="19" max="19" width="13.26953125" bestFit="1" customWidth="1"/>
    <col min="20" max="20" width="18" bestFit="1" customWidth="1"/>
    <col min="21" max="21" width="21.7265625" bestFit="1" customWidth="1"/>
  </cols>
  <sheetData>
    <row r="1" spans="2:21" x14ac:dyDescent="0.35">
      <c r="B1" s="301" t="s">
        <v>270</v>
      </c>
      <c r="C1" s="301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2:21" x14ac:dyDescent="0.35"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</row>
    <row r="3" spans="2:21" x14ac:dyDescent="0.35"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5" spans="2:21" ht="16.5" customHeight="1" x14ac:dyDescent="0.35">
      <c r="B5" s="303" t="s">
        <v>34</v>
      </c>
      <c r="C5" s="303"/>
      <c r="D5" s="303"/>
      <c r="E5" s="303"/>
      <c r="F5" s="303"/>
      <c r="G5" s="303"/>
      <c r="H5" s="303"/>
      <c r="I5" s="303"/>
      <c r="J5" s="303"/>
      <c r="L5" s="304" t="s">
        <v>56</v>
      </c>
      <c r="M5" s="304"/>
      <c r="N5" s="304"/>
      <c r="O5" s="304"/>
      <c r="Q5" s="303" t="s">
        <v>130</v>
      </c>
      <c r="R5" s="303"/>
      <c r="S5" s="303"/>
      <c r="T5" s="303"/>
    </row>
    <row r="6" spans="2:21" s="2" customFormat="1" ht="43.5" x14ac:dyDescent="0.35">
      <c r="B6" s="155" t="s">
        <v>128</v>
      </c>
      <c r="C6" s="155" t="s">
        <v>129</v>
      </c>
      <c r="D6" s="155" t="s">
        <v>50</v>
      </c>
      <c r="E6" s="155" t="s">
        <v>33</v>
      </c>
      <c r="F6" s="155" t="s">
        <v>131</v>
      </c>
      <c r="G6" s="155" t="s">
        <v>127</v>
      </c>
      <c r="H6" s="72" t="s">
        <v>132</v>
      </c>
      <c r="I6" s="73" t="s">
        <v>118</v>
      </c>
      <c r="J6" s="74" t="s">
        <v>126</v>
      </c>
      <c r="K6" s="4"/>
      <c r="L6" s="71" t="s">
        <v>19</v>
      </c>
      <c r="M6" s="73" t="s">
        <v>125</v>
      </c>
      <c r="N6" s="73" t="s">
        <v>117</v>
      </c>
      <c r="O6" s="74" t="s">
        <v>74</v>
      </c>
      <c r="Q6" s="155" t="s">
        <v>19</v>
      </c>
      <c r="R6" s="73" t="s">
        <v>125</v>
      </c>
      <c r="S6" s="73" t="s">
        <v>117</v>
      </c>
      <c r="T6" s="85" t="s">
        <v>74</v>
      </c>
      <c r="U6" s="1"/>
    </row>
    <row r="7" spans="2:21" x14ac:dyDescent="0.35">
      <c r="B7" s="269">
        <v>46054</v>
      </c>
      <c r="C7" s="269">
        <v>45962</v>
      </c>
      <c r="D7" s="270" t="s">
        <v>259</v>
      </c>
      <c r="E7" s="270"/>
      <c r="F7" s="271">
        <v>46068</v>
      </c>
      <c r="G7" s="272">
        <v>-1169888.29</v>
      </c>
      <c r="H7" s="270">
        <v>1.0033000000000001</v>
      </c>
      <c r="I7" s="282">
        <v>-3860.6313570002094</v>
      </c>
      <c r="J7" s="282">
        <v>-1173748.9213570002</v>
      </c>
      <c r="L7" s="80">
        <v>46023</v>
      </c>
      <c r="M7" s="81">
        <f>SUMIF($C:$C,L7,$G:$G)</f>
        <v>14166455.15</v>
      </c>
      <c r="N7" s="81">
        <f>SUMIF($C:$C,L7,$I:$I)</f>
        <v>2648.3584399999527</v>
      </c>
      <c r="O7" s="81">
        <f>SUM(M7:N7)</f>
        <v>14169103.508440001</v>
      </c>
      <c r="Q7" s="80">
        <v>46023</v>
      </c>
      <c r="R7" s="81">
        <f t="shared" ref="R7:R22" si="0">SUMIF($B:$B,Q7,$G:$G)</f>
        <v>0</v>
      </c>
      <c r="S7" s="81">
        <f t="shared" ref="S7:S22" si="1">SUMIF($B:$B,Q7,$I:$I)</f>
        <v>0</v>
      </c>
      <c r="T7" s="81">
        <f>SUM(R7:S7)</f>
        <v>0</v>
      </c>
    </row>
    <row r="8" spans="2:21" x14ac:dyDescent="0.35">
      <c r="B8" s="269">
        <v>46054</v>
      </c>
      <c r="C8" s="269">
        <v>45962</v>
      </c>
      <c r="D8" s="270" t="s">
        <v>260</v>
      </c>
      <c r="E8" s="270"/>
      <c r="F8" s="271">
        <v>46068</v>
      </c>
      <c r="G8" s="281">
        <v>-4935643.3</v>
      </c>
      <c r="H8" s="270">
        <v>1.0033000000000001</v>
      </c>
      <c r="I8" s="282">
        <v>-16287.622890000232</v>
      </c>
      <c r="J8" s="282">
        <v>-4951930.92289</v>
      </c>
      <c r="L8" s="80">
        <v>46054</v>
      </c>
      <c r="M8" s="81">
        <f>SUMIF($C:$C,L8,$G:$G)</f>
        <v>0</v>
      </c>
      <c r="N8" s="81">
        <f>SUMIF($C:$C,L8,$I:$I)</f>
        <v>0</v>
      </c>
      <c r="O8" s="81">
        <f t="shared" ref="O8:O22" si="2">SUM(M8:N8)</f>
        <v>0</v>
      </c>
      <c r="Q8" s="80">
        <v>46054</v>
      </c>
      <c r="R8" s="81">
        <f t="shared" si="0"/>
        <v>6607230.9300000006</v>
      </c>
      <c r="S8" s="81">
        <f t="shared" si="1"/>
        <v>-23696.928090000525</v>
      </c>
      <c r="T8" s="81">
        <f t="shared" ref="T8:T22" si="3">SUM(R8:S8)</f>
        <v>6583534.0019100001</v>
      </c>
    </row>
    <row r="9" spans="2:21" x14ac:dyDescent="0.35">
      <c r="B9" s="269">
        <v>46054</v>
      </c>
      <c r="C9" s="269">
        <v>45992</v>
      </c>
      <c r="D9" s="270" t="s">
        <v>260</v>
      </c>
      <c r="E9" s="270"/>
      <c r="F9" s="271">
        <v>46068</v>
      </c>
      <c r="G9" s="272">
        <v>-1075355.71</v>
      </c>
      <c r="H9" s="270">
        <v>1.0033000000000001</v>
      </c>
      <c r="I9" s="282">
        <v>-3548.6738430000842</v>
      </c>
      <c r="J9" s="282">
        <v>-1078904.383843</v>
      </c>
      <c r="L9" s="80">
        <v>46082</v>
      </c>
      <c r="M9" s="81">
        <f>SUMIF($C:$C,L9,$G:$G)</f>
        <v>0</v>
      </c>
      <c r="N9" s="81">
        <f>SUMIF($C:$C,L9,$I:$I)</f>
        <v>0</v>
      </c>
      <c r="O9" s="81">
        <f t="shared" si="2"/>
        <v>0</v>
      </c>
      <c r="Q9" s="80">
        <v>46082</v>
      </c>
      <c r="R9" s="81">
        <f t="shared" si="0"/>
        <v>378336.91999999993</v>
      </c>
      <c r="S9" s="81">
        <f t="shared" si="1"/>
        <v>2648.3584399999527</v>
      </c>
      <c r="T9" s="81">
        <f t="shared" si="3"/>
        <v>380985.27843999991</v>
      </c>
    </row>
    <row r="10" spans="2:21" x14ac:dyDescent="0.35">
      <c r="B10" s="75">
        <v>46054</v>
      </c>
      <c r="C10" s="75">
        <v>46023</v>
      </c>
      <c r="D10" s="76" t="s">
        <v>44</v>
      </c>
      <c r="E10" s="76"/>
      <c r="F10" s="271">
        <v>46068</v>
      </c>
      <c r="G10" s="286">
        <v>140.29</v>
      </c>
      <c r="H10" s="76">
        <v>1</v>
      </c>
      <c r="I10" s="79">
        <v>0</v>
      </c>
      <c r="J10" s="79">
        <v>140.29</v>
      </c>
      <c r="L10" s="80">
        <v>46113</v>
      </c>
      <c r="M10" s="81">
        <f>SUMIF($C:$C,#REF!,$G:$G)</f>
        <v>0</v>
      </c>
      <c r="N10" s="81">
        <f>SUMIF($C:$C,#REF!,$I:$I)</f>
        <v>0</v>
      </c>
      <c r="O10" s="81">
        <f t="shared" ref="O10" si="4">SUM(M10:N10)</f>
        <v>0</v>
      </c>
      <c r="Q10" s="80">
        <v>46113</v>
      </c>
      <c r="R10" s="81">
        <f t="shared" si="0"/>
        <v>0</v>
      </c>
      <c r="S10" s="81">
        <f t="shared" si="1"/>
        <v>0</v>
      </c>
      <c r="T10" s="81">
        <f t="shared" ref="T10:T11" si="5">SUM(R10:S10)</f>
        <v>0</v>
      </c>
    </row>
    <row r="11" spans="2:21" x14ac:dyDescent="0.35">
      <c r="B11" s="75">
        <v>46054</v>
      </c>
      <c r="C11" s="75">
        <v>46023</v>
      </c>
      <c r="D11" s="76" t="s">
        <v>271</v>
      </c>
      <c r="E11" s="76"/>
      <c r="F11" s="271">
        <v>46068</v>
      </c>
      <c r="G11" s="286">
        <v>61977.94</v>
      </c>
      <c r="H11" s="76">
        <v>1</v>
      </c>
      <c r="I11" s="79">
        <v>0</v>
      </c>
      <c r="J11" s="79">
        <v>61977.94</v>
      </c>
      <c r="L11" s="80">
        <v>46143</v>
      </c>
      <c r="M11" s="81">
        <f>SUMIF($C:$C,L10,$G:$G)</f>
        <v>0</v>
      </c>
      <c r="N11" s="81">
        <f>SUMIF($C:$C,L10,$I:$I)</f>
        <v>0</v>
      </c>
      <c r="O11" s="81">
        <f t="shared" ref="O11" si="6">SUM(M11:N11)</f>
        <v>0</v>
      </c>
      <c r="Q11" s="80">
        <v>46143</v>
      </c>
      <c r="R11" s="81">
        <f t="shared" si="0"/>
        <v>0</v>
      </c>
      <c r="S11" s="81">
        <f t="shared" si="1"/>
        <v>0</v>
      </c>
      <c r="T11" s="81">
        <f t="shared" si="5"/>
        <v>0</v>
      </c>
    </row>
    <row r="12" spans="2:21" x14ac:dyDescent="0.35">
      <c r="B12" s="75">
        <v>46054</v>
      </c>
      <c r="C12" s="75">
        <v>46023</v>
      </c>
      <c r="D12" s="76" t="s">
        <v>272</v>
      </c>
      <c r="E12" s="76"/>
      <c r="F12" s="271">
        <v>46068</v>
      </c>
      <c r="G12" s="286">
        <v>13726000</v>
      </c>
      <c r="H12" s="76">
        <v>1</v>
      </c>
      <c r="I12" s="79">
        <v>0</v>
      </c>
      <c r="J12" s="79">
        <v>13726000</v>
      </c>
      <c r="L12" s="80">
        <v>46174</v>
      </c>
      <c r="M12" s="81">
        <f>SUMIF($C:$C,L11,$G:$G)</f>
        <v>0</v>
      </c>
      <c r="N12" s="81">
        <f>SUMIF($C:$C,L11,$I:$I)</f>
        <v>0</v>
      </c>
      <c r="O12" s="81">
        <f t="shared" si="2"/>
        <v>0</v>
      </c>
      <c r="Q12" s="80">
        <v>46174</v>
      </c>
      <c r="R12" s="81">
        <f t="shared" si="0"/>
        <v>0</v>
      </c>
      <c r="S12" s="81">
        <f t="shared" si="1"/>
        <v>0</v>
      </c>
      <c r="T12" s="81">
        <f t="shared" si="3"/>
        <v>0</v>
      </c>
    </row>
    <row r="13" spans="2:21" x14ac:dyDescent="0.35">
      <c r="B13" s="75">
        <f t="shared" ref="B13:B22" si="7">DATE(YEAR(F13),MONTH(F13),1)</f>
        <v>46082</v>
      </c>
      <c r="C13" s="75">
        <v>46023</v>
      </c>
      <c r="D13" s="76" t="s">
        <v>259</v>
      </c>
      <c r="E13" s="76"/>
      <c r="F13" s="77">
        <v>46097</v>
      </c>
      <c r="G13" s="78">
        <f>Reprocessamentos!I12</f>
        <v>144232.06999999998</v>
      </c>
      <c r="H13" s="76">
        <f>Reprocessamentos!J12</f>
        <v>1.0069999999999999</v>
      </c>
      <c r="I13" s="79">
        <f>G13*H13-G13</f>
        <v>1009.6244899999874</v>
      </c>
      <c r="J13" s="79">
        <f>G13+I13</f>
        <v>145241.69448999997</v>
      </c>
      <c r="L13" s="80">
        <v>46204</v>
      </c>
      <c r="M13" s="81">
        <f>SUMIF($C:$C,#REF!,$G:$G)</f>
        <v>0</v>
      </c>
      <c r="N13" s="81">
        <f>SUMIF($C:$C,#REF!,$I:$I)</f>
        <v>0</v>
      </c>
      <c r="O13" s="81">
        <f t="shared" si="2"/>
        <v>0</v>
      </c>
      <c r="Q13" s="80">
        <v>46204</v>
      </c>
      <c r="R13" s="81">
        <f t="shared" si="0"/>
        <v>0</v>
      </c>
      <c r="S13" s="81">
        <f t="shared" si="1"/>
        <v>0</v>
      </c>
      <c r="T13" s="81">
        <f t="shared" si="3"/>
        <v>0</v>
      </c>
    </row>
    <row r="14" spans="2:21" x14ac:dyDescent="0.35">
      <c r="B14" s="75">
        <f t="shared" si="7"/>
        <v>46082</v>
      </c>
      <c r="C14" s="75">
        <v>46023</v>
      </c>
      <c r="D14" s="76" t="s">
        <v>260</v>
      </c>
      <c r="E14" s="76"/>
      <c r="F14" s="77">
        <v>46097</v>
      </c>
      <c r="G14" s="78">
        <f>Reprocessamentos!I13</f>
        <v>234104.84999999998</v>
      </c>
      <c r="H14" s="76">
        <f>Reprocessamentos!J13</f>
        <v>1.0069999999999999</v>
      </c>
      <c r="I14" s="79">
        <f>G14*H14-G14</f>
        <v>1638.7339499999653</v>
      </c>
      <c r="J14" s="79">
        <f>G14+I14</f>
        <v>235743.58394999994</v>
      </c>
      <c r="L14" s="80">
        <v>46235</v>
      </c>
      <c r="M14" s="81">
        <f>SUMIF($C:$C,L12,$G:$G)</f>
        <v>0</v>
      </c>
      <c r="N14" s="81">
        <f>SUMIF($C:$C,L12,$I:$I)</f>
        <v>0</v>
      </c>
      <c r="O14" s="81">
        <f t="shared" si="2"/>
        <v>0</v>
      </c>
      <c r="Q14" s="80">
        <v>46235</v>
      </c>
      <c r="R14" s="81">
        <f t="shared" si="0"/>
        <v>0</v>
      </c>
      <c r="S14" s="81">
        <f t="shared" si="1"/>
        <v>0</v>
      </c>
      <c r="T14" s="81">
        <f t="shared" si="3"/>
        <v>0</v>
      </c>
    </row>
    <row r="15" spans="2:21" x14ac:dyDescent="0.35">
      <c r="B15" s="75">
        <f t="shared" ref="B15:B18" si="8">DATE(YEAR(F15),MONTH(F15),1)</f>
        <v>1</v>
      </c>
      <c r="C15" s="75"/>
      <c r="D15" s="76"/>
      <c r="E15" s="76"/>
      <c r="F15" s="77"/>
      <c r="G15" s="78"/>
      <c r="H15" s="76"/>
      <c r="I15" s="79"/>
      <c r="J15" s="79"/>
      <c r="L15" s="80">
        <v>46266</v>
      </c>
      <c r="M15" s="81">
        <f>SUMIF($C:$C,L9,$G:$G)</f>
        <v>0</v>
      </c>
      <c r="N15" s="81">
        <f>SUMIF($C:$C,L9,$I:$I)</f>
        <v>0</v>
      </c>
      <c r="O15" s="81">
        <f t="shared" ref="O15:O18" si="9">SUM(M15:N15)</f>
        <v>0</v>
      </c>
      <c r="Q15" s="80">
        <v>46266</v>
      </c>
      <c r="R15" s="81">
        <f t="shared" si="0"/>
        <v>0</v>
      </c>
      <c r="S15" s="81">
        <f t="shared" si="1"/>
        <v>0</v>
      </c>
      <c r="T15" s="81">
        <f t="shared" ref="T15:T18" si="10">SUM(R15:S15)</f>
        <v>0</v>
      </c>
    </row>
    <row r="16" spans="2:21" x14ac:dyDescent="0.35">
      <c r="B16" s="75">
        <f t="shared" si="8"/>
        <v>1</v>
      </c>
      <c r="C16" s="75"/>
      <c r="D16" s="76"/>
      <c r="E16" s="76"/>
      <c r="F16" s="77"/>
      <c r="G16" s="78"/>
      <c r="H16" s="76"/>
      <c r="I16" s="79"/>
      <c r="J16" s="79"/>
      <c r="L16" s="80">
        <v>46296</v>
      </c>
      <c r="M16" s="81">
        <f>SUMIF($C:$C,L17,$G:$G)</f>
        <v>0</v>
      </c>
      <c r="N16" s="81">
        <f>SUMIF($C:$C,L17,$I:$I)</f>
        <v>0</v>
      </c>
      <c r="O16" s="81">
        <f t="shared" si="9"/>
        <v>0</v>
      </c>
      <c r="Q16" s="80">
        <v>46296</v>
      </c>
      <c r="R16" s="81">
        <f t="shared" si="0"/>
        <v>0</v>
      </c>
      <c r="S16" s="81">
        <f t="shared" si="1"/>
        <v>0</v>
      </c>
      <c r="T16" s="81">
        <f t="shared" si="10"/>
        <v>0</v>
      </c>
    </row>
    <row r="17" spans="2:20" x14ac:dyDescent="0.35">
      <c r="B17" s="75">
        <f t="shared" si="8"/>
        <v>1</v>
      </c>
      <c r="C17" s="75"/>
      <c r="D17" s="76"/>
      <c r="E17" s="76"/>
      <c r="F17" s="77"/>
      <c r="G17" s="78"/>
      <c r="H17" s="76"/>
      <c r="I17" s="79"/>
      <c r="J17" s="79"/>
      <c r="L17" s="80">
        <v>46327</v>
      </c>
      <c r="M17" s="81">
        <f>SUMIF($C:$C,L18,$G:$G)</f>
        <v>0</v>
      </c>
      <c r="N17" s="81">
        <f>SUMIF($C:$C,L18,$I:$I)</f>
        <v>0</v>
      </c>
      <c r="O17" s="81">
        <f t="shared" si="9"/>
        <v>0</v>
      </c>
      <c r="Q17" s="80">
        <v>46327</v>
      </c>
      <c r="R17" s="81">
        <f t="shared" si="0"/>
        <v>0</v>
      </c>
      <c r="S17" s="81">
        <f t="shared" si="1"/>
        <v>0</v>
      </c>
      <c r="T17" s="81">
        <f t="shared" si="10"/>
        <v>0</v>
      </c>
    </row>
    <row r="18" spans="2:20" x14ac:dyDescent="0.35">
      <c r="B18" s="75">
        <f t="shared" si="8"/>
        <v>1</v>
      </c>
      <c r="C18" s="75"/>
      <c r="D18" s="76"/>
      <c r="E18" s="76"/>
      <c r="F18" s="77"/>
      <c r="G18" s="78"/>
      <c r="H18" s="76"/>
      <c r="I18" s="79"/>
      <c r="J18" s="79"/>
      <c r="L18" s="80">
        <v>46357</v>
      </c>
      <c r="M18" s="81">
        <f>SUMIF($C:$C,#REF!,$G:$G)</f>
        <v>0</v>
      </c>
      <c r="N18" s="81">
        <f>SUMIF($C:$C,#REF!,$I:$I)</f>
        <v>0</v>
      </c>
      <c r="O18" s="81">
        <f t="shared" si="9"/>
        <v>0</v>
      </c>
      <c r="Q18" s="80">
        <v>46357</v>
      </c>
      <c r="R18" s="81">
        <f t="shared" si="0"/>
        <v>0</v>
      </c>
      <c r="S18" s="81">
        <f t="shared" si="1"/>
        <v>0</v>
      </c>
      <c r="T18" s="81">
        <f t="shared" si="10"/>
        <v>0</v>
      </c>
    </row>
    <row r="19" spans="2:20" x14ac:dyDescent="0.35">
      <c r="B19" s="75">
        <f t="shared" si="7"/>
        <v>1</v>
      </c>
      <c r="C19" s="75"/>
      <c r="D19" s="76"/>
      <c r="E19" s="76"/>
      <c r="F19" s="77"/>
      <c r="G19" s="78"/>
      <c r="H19" s="76"/>
      <c r="I19" s="79"/>
      <c r="J19" s="79"/>
      <c r="L19" s="80">
        <v>46266</v>
      </c>
      <c r="M19" s="81">
        <f>SUMIF($C:$C,L13,$G:$G)</f>
        <v>0</v>
      </c>
      <c r="N19" s="81">
        <f>SUMIF($C:$C,L13,$I:$I)</f>
        <v>0</v>
      </c>
      <c r="O19" s="81">
        <f t="shared" si="2"/>
        <v>0</v>
      </c>
      <c r="Q19" s="80">
        <v>46388</v>
      </c>
      <c r="R19" s="81">
        <f t="shared" si="0"/>
        <v>0</v>
      </c>
      <c r="S19" s="81">
        <f t="shared" si="1"/>
        <v>0</v>
      </c>
      <c r="T19" s="81">
        <f t="shared" si="3"/>
        <v>0</v>
      </c>
    </row>
    <row r="20" spans="2:20" x14ac:dyDescent="0.35">
      <c r="B20" s="75">
        <f t="shared" si="7"/>
        <v>1</v>
      </c>
      <c r="C20" s="75"/>
      <c r="D20" s="76"/>
      <c r="E20" s="76"/>
      <c r="F20" s="77"/>
      <c r="G20" s="78"/>
      <c r="H20" s="76"/>
      <c r="I20" s="79"/>
      <c r="J20" s="79"/>
      <c r="L20" s="80">
        <v>46296</v>
      </c>
      <c r="M20" s="81">
        <f>SUMIF($C:$C,L21,$G:$G)</f>
        <v>0</v>
      </c>
      <c r="N20" s="81">
        <f>SUMIF($C:$C,L21,$I:$I)</f>
        <v>0</v>
      </c>
      <c r="O20" s="81">
        <f t="shared" si="2"/>
        <v>0</v>
      </c>
      <c r="Q20" s="80">
        <v>46419</v>
      </c>
      <c r="R20" s="81">
        <f t="shared" si="0"/>
        <v>0</v>
      </c>
      <c r="S20" s="81">
        <f t="shared" si="1"/>
        <v>0</v>
      </c>
      <c r="T20" s="81">
        <f t="shared" si="3"/>
        <v>0</v>
      </c>
    </row>
    <row r="21" spans="2:20" x14ac:dyDescent="0.35">
      <c r="B21" s="75">
        <f t="shared" si="7"/>
        <v>1</v>
      </c>
      <c r="C21" s="75"/>
      <c r="D21" s="76"/>
      <c r="E21" s="76"/>
      <c r="F21" s="77"/>
      <c r="G21" s="78"/>
      <c r="H21" s="76"/>
      <c r="I21" s="79"/>
      <c r="J21" s="79"/>
      <c r="L21" s="80">
        <v>46327</v>
      </c>
      <c r="M21" s="81">
        <f>SUMIF($C:$C,L22,$G:$G)</f>
        <v>0</v>
      </c>
      <c r="N21" s="81">
        <f>SUMIF($C:$C,L22,$I:$I)</f>
        <v>0</v>
      </c>
      <c r="O21" s="81">
        <f t="shared" si="2"/>
        <v>0</v>
      </c>
      <c r="Q21" s="80">
        <v>46447</v>
      </c>
      <c r="R21" s="81">
        <f t="shared" si="0"/>
        <v>0</v>
      </c>
      <c r="S21" s="81">
        <f t="shared" si="1"/>
        <v>0</v>
      </c>
      <c r="T21" s="81">
        <f t="shared" si="3"/>
        <v>0</v>
      </c>
    </row>
    <row r="22" spans="2:20" x14ac:dyDescent="0.35">
      <c r="B22" s="75">
        <f t="shared" si="7"/>
        <v>1</v>
      </c>
      <c r="C22" s="75"/>
      <c r="D22" s="76"/>
      <c r="E22" s="76"/>
      <c r="F22" s="77"/>
      <c r="G22" s="78"/>
      <c r="H22" s="76"/>
      <c r="I22" s="79"/>
      <c r="J22" s="79"/>
      <c r="L22" s="80">
        <v>46357</v>
      </c>
      <c r="M22" s="81">
        <f>SUMIF($C:$C,#REF!,$G:$G)</f>
        <v>0</v>
      </c>
      <c r="N22" s="81">
        <f>SUMIF($C:$C,#REF!,$I:$I)</f>
        <v>0</v>
      </c>
      <c r="O22" s="81">
        <f t="shared" si="2"/>
        <v>0</v>
      </c>
      <c r="Q22" s="80">
        <v>46478</v>
      </c>
      <c r="R22" s="81">
        <f t="shared" si="0"/>
        <v>0</v>
      </c>
      <c r="S22" s="81">
        <f t="shared" si="1"/>
        <v>0</v>
      </c>
      <c r="T22" s="81">
        <f t="shared" si="3"/>
        <v>0</v>
      </c>
    </row>
    <row r="23" spans="2:20" ht="15" thickBot="1" x14ac:dyDescent="0.4">
      <c r="F23" s="11"/>
      <c r="H23" s="11"/>
      <c r="L23" s="82" t="s">
        <v>87</v>
      </c>
      <c r="M23" s="83">
        <f>SUM(M7:M22)</f>
        <v>14166455.15</v>
      </c>
      <c r="N23" s="83">
        <f t="shared" ref="N23:O23" si="11">SUM(N7:N22)</f>
        <v>2648.3584399999527</v>
      </c>
      <c r="O23" s="84">
        <f t="shared" si="11"/>
        <v>14169103.508440001</v>
      </c>
      <c r="Q23" s="82" t="s">
        <v>87</v>
      </c>
      <c r="R23" s="83">
        <f>SUM(R7:R22)</f>
        <v>6985567.8500000006</v>
      </c>
      <c r="S23" s="83">
        <f t="shared" ref="S23:T23" si="12">SUM(S7:S22)</f>
        <v>-21048.569650000572</v>
      </c>
      <c r="T23" s="84">
        <f t="shared" si="12"/>
        <v>6964519.2803499997</v>
      </c>
    </row>
    <row r="24" spans="2:20" ht="15" thickTop="1" x14ac:dyDescent="0.35">
      <c r="B24" s="266" t="s">
        <v>256</v>
      </c>
      <c r="T24" s="3"/>
    </row>
    <row r="25" spans="2:20" x14ac:dyDescent="0.35">
      <c r="B25" t="s">
        <v>258</v>
      </c>
      <c r="T25" s="39"/>
    </row>
    <row r="26" spans="2:20" x14ac:dyDescent="0.35">
      <c r="T26" s="39"/>
    </row>
    <row r="27" spans="2:20" x14ac:dyDescent="0.35">
      <c r="I27" s="11"/>
      <c r="T27" s="39"/>
    </row>
    <row r="28" spans="2:20" x14ac:dyDescent="0.35">
      <c r="O28" s="11"/>
      <c r="P28" s="65"/>
    </row>
    <row r="29" spans="2:20" x14ac:dyDescent="0.35">
      <c r="O29" s="11"/>
      <c r="P29" s="65"/>
    </row>
    <row r="30" spans="2:20" x14ac:dyDescent="0.35">
      <c r="O30" s="11"/>
      <c r="P30" s="65"/>
    </row>
    <row r="31" spans="2:20" x14ac:dyDescent="0.35">
      <c r="I31"/>
      <c r="J31"/>
      <c r="O31" s="11"/>
      <c r="P31" s="65"/>
    </row>
    <row r="32" spans="2:20" x14ac:dyDescent="0.35">
      <c r="I32"/>
      <c r="J32"/>
      <c r="K32" s="171"/>
      <c r="O32" s="11"/>
      <c r="P32" s="65"/>
    </row>
    <row r="33" spans="9:16" x14ac:dyDescent="0.35">
      <c r="I33"/>
      <c r="J33"/>
      <c r="O33" s="11"/>
      <c r="P33" s="65"/>
    </row>
    <row r="34" spans="9:16" x14ac:dyDescent="0.35">
      <c r="I34"/>
      <c r="J34"/>
    </row>
    <row r="42" spans="9:16" ht="15" customHeight="1" x14ac:dyDescent="0.35"/>
    <row r="52" spans="5:5" x14ac:dyDescent="0.35">
      <c r="E52" s="11"/>
    </row>
    <row r="53" spans="5:5" x14ac:dyDescent="0.35">
      <c r="E53" s="11"/>
    </row>
    <row r="54" spans="5:5" x14ac:dyDescent="0.35">
      <c r="E54" s="11"/>
    </row>
    <row r="55" spans="5:5" x14ac:dyDescent="0.35">
      <c r="E55" s="68"/>
    </row>
    <row r="56" spans="5:5" x14ac:dyDescent="0.35">
      <c r="E56" s="65"/>
    </row>
  </sheetData>
  <autoFilter ref="B6:J22" xr:uid="{00000000-0009-0000-0000-00000B000000}">
    <sortState xmlns:xlrd2="http://schemas.microsoft.com/office/spreadsheetml/2017/richdata2" ref="B7:J22">
      <sortCondition ref="F6:F22"/>
    </sortState>
  </autoFilter>
  <mergeCells count="4">
    <mergeCell ref="B1:O3"/>
    <mergeCell ref="B5:J5"/>
    <mergeCell ref="L5:O5"/>
    <mergeCell ref="Q5:T5"/>
  </mergeCells>
  <phoneticPr fontId="3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O10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B1324-1A65-4966-B41B-1B48B1A99735}">
  <sheetPr>
    <tabColor theme="7" tint="0.79998168889431442"/>
  </sheetPr>
  <dimension ref="B2:M38"/>
  <sheetViews>
    <sheetView showGridLines="0" zoomScale="80" zoomScaleNormal="80" workbookViewId="0">
      <selection activeCell="F35" sqref="F35"/>
    </sheetView>
  </sheetViews>
  <sheetFormatPr defaultRowHeight="14.5" x14ac:dyDescent="0.35"/>
  <cols>
    <col min="2" max="2" width="16.26953125" customWidth="1"/>
    <col min="3" max="3" width="20.90625" bestFit="1" customWidth="1"/>
    <col min="4" max="4" width="13.7265625" customWidth="1"/>
    <col min="5" max="5" width="19.1796875" customWidth="1"/>
    <col min="6" max="6" width="20.453125" customWidth="1"/>
    <col min="7" max="7" width="18.81640625" customWidth="1"/>
    <col min="8" max="9" width="16.90625" customWidth="1"/>
    <col min="10" max="10" width="15.36328125" bestFit="1" customWidth="1"/>
    <col min="11" max="11" width="18.54296875" customWidth="1"/>
  </cols>
  <sheetData>
    <row r="2" spans="2:13" ht="38" customHeight="1" x14ac:dyDescent="0.8">
      <c r="F2" s="241" t="s">
        <v>249</v>
      </c>
      <c r="G2" s="241"/>
      <c r="H2" s="241"/>
      <c r="I2" s="242"/>
      <c r="J2" s="243"/>
      <c r="K2" s="243"/>
      <c r="L2" s="243"/>
      <c r="M2" s="243"/>
    </row>
    <row r="3" spans="2:13" ht="14.5" customHeight="1" x14ac:dyDescent="0.35">
      <c r="F3" s="243"/>
      <c r="G3" s="243"/>
      <c r="H3" s="243"/>
      <c r="I3" s="243"/>
      <c r="J3" s="243"/>
      <c r="K3" s="243"/>
      <c r="L3" s="243"/>
      <c r="M3" s="243"/>
    </row>
    <row r="4" spans="2:13" ht="34.5" customHeight="1" x14ac:dyDescent="0.35">
      <c r="F4" s="243"/>
      <c r="G4" s="243"/>
      <c r="H4" s="243"/>
      <c r="I4" s="243"/>
      <c r="K4" s="243"/>
      <c r="L4" s="243"/>
      <c r="M4" s="243"/>
    </row>
    <row r="5" spans="2:13" x14ac:dyDescent="0.35">
      <c r="B5" s="346" t="s">
        <v>5</v>
      </c>
      <c r="C5" s="347"/>
      <c r="D5" s="347"/>
      <c r="E5" s="347"/>
      <c r="F5" s="347"/>
      <c r="G5" s="347"/>
      <c r="H5" s="347"/>
      <c r="I5" s="348"/>
    </row>
    <row r="6" spans="2:13" x14ac:dyDescent="0.35">
      <c r="B6" s="245" t="s">
        <v>3</v>
      </c>
      <c r="C6" s="245"/>
      <c r="D6" s="245"/>
      <c r="E6" s="245"/>
      <c r="F6" s="245"/>
      <c r="G6" s="245"/>
      <c r="H6" s="245"/>
      <c r="I6" s="245"/>
    </row>
    <row r="7" spans="2:13" ht="45.5" customHeight="1" x14ac:dyDescent="0.35">
      <c r="B7" s="155" t="s">
        <v>124</v>
      </c>
      <c r="C7" s="72" t="s">
        <v>123</v>
      </c>
      <c r="D7" s="72" t="s">
        <v>0</v>
      </c>
      <c r="E7" s="92" t="s">
        <v>1</v>
      </c>
      <c r="F7" s="72" t="s">
        <v>2</v>
      </c>
      <c r="G7" s="92" t="s">
        <v>7</v>
      </c>
      <c r="H7" s="72" t="s">
        <v>6</v>
      </c>
      <c r="I7" s="72" t="s">
        <v>250</v>
      </c>
    </row>
    <row r="8" spans="2:13" x14ac:dyDescent="0.35">
      <c r="B8" s="80">
        <v>46023</v>
      </c>
      <c r="C8" s="258">
        <f>Secund!M8</f>
        <v>4.2300000000000004</v>
      </c>
      <c r="D8" s="258">
        <f>Secund!N8</f>
        <v>4.0259999999999998</v>
      </c>
      <c r="E8" s="258">
        <f>Secund!N8</f>
        <v>4.0259999999999998</v>
      </c>
      <c r="F8" s="126">
        <f>E32*1000</f>
        <v>17980</v>
      </c>
      <c r="G8" s="126">
        <f>F8*E8</f>
        <v>72387.48</v>
      </c>
      <c r="H8" s="135">
        <f>Secund!R8</f>
        <v>1</v>
      </c>
      <c r="I8" s="126">
        <f>G8</f>
        <v>72387.48</v>
      </c>
    </row>
    <row r="9" spans="2:13" x14ac:dyDescent="0.35">
      <c r="B9" s="80">
        <v>46055</v>
      </c>
      <c r="C9" s="258"/>
      <c r="D9" s="258"/>
      <c r="E9" s="258"/>
      <c r="F9" s="126"/>
      <c r="G9" s="126"/>
      <c r="H9" s="135"/>
      <c r="I9" s="126"/>
    </row>
    <row r="10" spans="2:13" x14ac:dyDescent="0.35">
      <c r="B10" s="80">
        <v>46087</v>
      </c>
      <c r="C10" s="258"/>
      <c r="D10" s="258"/>
      <c r="E10" s="258"/>
      <c r="F10" s="126"/>
      <c r="G10" s="126"/>
      <c r="H10" s="135"/>
      <c r="I10" s="126"/>
    </row>
    <row r="11" spans="2:13" x14ac:dyDescent="0.35">
      <c r="B11" s="80">
        <v>46119</v>
      </c>
      <c r="C11" s="258"/>
      <c r="D11" s="258"/>
      <c r="E11" s="258"/>
      <c r="F11" s="126"/>
      <c r="G11" s="126"/>
      <c r="H11" s="135"/>
      <c r="I11" s="126"/>
    </row>
    <row r="12" spans="2:13" x14ac:dyDescent="0.35">
      <c r="B12" s="80">
        <v>46151</v>
      </c>
      <c r="C12" s="258"/>
      <c r="D12" s="258"/>
      <c r="E12" s="258"/>
      <c r="F12" s="126"/>
      <c r="G12" s="126"/>
      <c r="H12" s="135"/>
      <c r="I12" s="126"/>
    </row>
    <row r="13" spans="2:13" x14ac:dyDescent="0.35">
      <c r="B13" s="80">
        <v>46183</v>
      </c>
      <c r="C13" s="258"/>
      <c r="D13" s="258"/>
      <c r="E13" s="258"/>
      <c r="F13" s="126"/>
      <c r="G13" s="126"/>
      <c r="H13" s="135"/>
      <c r="I13" s="126"/>
    </row>
    <row r="14" spans="2:13" x14ac:dyDescent="0.35">
      <c r="B14" s="80">
        <v>46215</v>
      </c>
      <c r="C14" s="258"/>
      <c r="D14" s="258"/>
      <c r="E14" s="258"/>
      <c r="F14" s="126"/>
      <c r="G14" s="126"/>
      <c r="H14" s="135"/>
      <c r="I14" s="126"/>
    </row>
    <row r="17" spans="2:9" ht="15.5" customHeight="1" x14ac:dyDescent="0.35">
      <c r="B17" s="346" t="s">
        <v>4</v>
      </c>
      <c r="C17" s="347"/>
      <c r="D17" s="347"/>
      <c r="E17" s="347"/>
      <c r="F17" s="347"/>
      <c r="G17" s="347"/>
      <c r="H17" s="347"/>
      <c r="I17" s="348"/>
    </row>
    <row r="18" spans="2:9" x14ac:dyDescent="0.35">
      <c r="B18" s="245" t="s">
        <v>3</v>
      </c>
      <c r="C18" s="245"/>
      <c r="D18" s="245"/>
      <c r="E18" s="245"/>
      <c r="F18" s="245"/>
      <c r="G18" s="245"/>
      <c r="H18" s="245"/>
      <c r="I18" s="245"/>
    </row>
    <row r="19" spans="2:9" ht="40.5" customHeight="1" x14ac:dyDescent="0.35">
      <c r="B19" s="155" t="s">
        <v>124</v>
      </c>
      <c r="C19" s="72" t="s">
        <v>123</v>
      </c>
      <c r="D19" s="72" t="s">
        <v>0</v>
      </c>
      <c r="E19" s="92" t="s">
        <v>1</v>
      </c>
      <c r="F19" s="72" t="s">
        <v>2</v>
      </c>
      <c r="G19" s="92" t="s">
        <v>7</v>
      </c>
      <c r="H19" s="72" t="s">
        <v>6</v>
      </c>
      <c r="I19" s="72" t="s">
        <v>250</v>
      </c>
    </row>
    <row r="20" spans="2:9" x14ac:dyDescent="0.35">
      <c r="B20" s="80">
        <v>46023</v>
      </c>
      <c r="C20" s="258">
        <f>Secund!C8</f>
        <v>4.3259749721436531</v>
      </c>
      <c r="D20" s="258">
        <f>Secund!D8</f>
        <v>2.8352816436945907</v>
      </c>
      <c r="E20" s="258">
        <f>D20</f>
        <v>2.8352816436945907</v>
      </c>
      <c r="F20" s="126">
        <f>F32*1000</f>
        <v>52350</v>
      </c>
      <c r="G20" s="126">
        <f>F20*E20</f>
        <v>148426.99404741183</v>
      </c>
      <c r="H20" s="135">
        <v>1</v>
      </c>
      <c r="I20" s="126">
        <f>G20</f>
        <v>148426.99404741183</v>
      </c>
    </row>
    <row r="21" spans="2:9" x14ac:dyDescent="0.35">
      <c r="B21" s="80">
        <v>46055</v>
      </c>
      <c r="C21" s="258"/>
      <c r="D21" s="258"/>
      <c r="E21" s="258"/>
      <c r="F21" s="126"/>
      <c r="G21" s="126"/>
      <c r="H21" s="135"/>
      <c r="I21" s="126"/>
    </row>
    <row r="22" spans="2:9" x14ac:dyDescent="0.35">
      <c r="B22" s="80">
        <v>46087</v>
      </c>
      <c r="C22" s="258"/>
      <c r="D22" s="258"/>
      <c r="E22" s="258"/>
      <c r="F22" s="126"/>
      <c r="G22" s="126"/>
      <c r="H22" s="135"/>
      <c r="I22" s="126"/>
    </row>
    <row r="23" spans="2:9" x14ac:dyDescent="0.35">
      <c r="B23" s="80">
        <v>46119</v>
      </c>
      <c r="C23" s="258"/>
      <c r="D23" s="258"/>
      <c r="E23" s="258"/>
      <c r="F23" s="126"/>
      <c r="G23" s="126"/>
      <c r="H23" s="135"/>
      <c r="I23" s="126"/>
    </row>
    <row r="24" spans="2:9" x14ac:dyDescent="0.35">
      <c r="B24" s="80">
        <v>46151</v>
      </c>
      <c r="C24" s="258"/>
      <c r="D24" s="258"/>
      <c r="E24" s="258"/>
      <c r="F24" s="126"/>
      <c r="G24" s="126"/>
      <c r="H24" s="135"/>
      <c r="I24" s="126"/>
    </row>
    <row r="25" spans="2:9" x14ac:dyDescent="0.35">
      <c r="B25" s="80">
        <v>46183</v>
      </c>
      <c r="C25" s="258"/>
      <c r="D25" s="258"/>
      <c r="E25" s="258"/>
      <c r="F25" s="126"/>
      <c r="G25" s="126"/>
      <c r="H25" s="135"/>
      <c r="I25" s="126"/>
    </row>
    <row r="26" spans="2:9" x14ac:dyDescent="0.35">
      <c r="B26" s="80">
        <v>46215</v>
      </c>
      <c r="C26" s="258"/>
      <c r="D26" s="258"/>
      <c r="E26" s="258"/>
      <c r="F26" s="126"/>
      <c r="G26" s="126"/>
      <c r="H26" s="135"/>
      <c r="I26" s="126"/>
    </row>
    <row r="30" spans="2:9" x14ac:dyDescent="0.35">
      <c r="B30" s="346" t="s">
        <v>249</v>
      </c>
      <c r="C30" s="347"/>
      <c r="D30" s="347"/>
      <c r="E30" s="347"/>
      <c r="F30" s="347"/>
    </row>
    <row r="31" spans="2:9" ht="29" x14ac:dyDescent="0.35">
      <c r="B31" s="155" t="s">
        <v>79</v>
      </c>
      <c r="C31" s="155" t="s">
        <v>83</v>
      </c>
      <c r="D31" s="244" t="s">
        <v>251</v>
      </c>
      <c r="E31" s="244" t="s">
        <v>252</v>
      </c>
      <c r="F31" s="244" t="s">
        <v>253</v>
      </c>
    </row>
    <row r="32" spans="2:9" x14ac:dyDescent="0.35">
      <c r="B32" s="172">
        <v>46023</v>
      </c>
      <c r="C32" s="87" t="s">
        <v>182</v>
      </c>
      <c r="D32" s="260"/>
      <c r="E32" s="260">
        <v>17.98</v>
      </c>
      <c r="F32" s="260">
        <v>52.35</v>
      </c>
    </row>
    <row r="33" spans="2:6" x14ac:dyDescent="0.35">
      <c r="B33" s="234"/>
      <c r="C33" s="234"/>
      <c r="D33" s="261"/>
      <c r="E33" s="237"/>
      <c r="F33" s="237"/>
    </row>
    <row r="34" spans="2:6" ht="15" thickBot="1" x14ac:dyDescent="0.4">
      <c r="B34" s="90">
        <v>46023</v>
      </c>
      <c r="C34" s="90" t="s">
        <v>87</v>
      </c>
      <c r="D34" s="262"/>
      <c r="E34" s="238">
        <f>E32</f>
        <v>17.98</v>
      </c>
      <c r="F34" s="238">
        <f>F32</f>
        <v>52.35</v>
      </c>
    </row>
    <row r="35" spans="2:6" ht="15" thickTop="1" x14ac:dyDescent="0.35">
      <c r="B35" s="172">
        <v>46054</v>
      </c>
      <c r="C35" s="87" t="s">
        <v>182</v>
      </c>
      <c r="D35" s="260"/>
      <c r="E35" s="240"/>
      <c r="F35" s="240"/>
    </row>
    <row r="36" spans="2:6" x14ac:dyDescent="0.35">
      <c r="B36" s="234"/>
      <c r="C36" s="234"/>
      <c r="D36" s="261"/>
      <c r="E36" s="237"/>
      <c r="F36" s="237"/>
    </row>
    <row r="37" spans="2:6" ht="15" thickBot="1" x14ac:dyDescent="0.4">
      <c r="B37" s="90">
        <v>46054</v>
      </c>
      <c r="C37" s="90" t="s">
        <v>87</v>
      </c>
      <c r="D37" s="262"/>
      <c r="E37" s="238"/>
      <c r="F37" s="238"/>
    </row>
    <row r="38" spans="2:6" ht="15" thickTop="1" x14ac:dyDescent="0.35"/>
  </sheetData>
  <mergeCells count="3">
    <mergeCell ref="B30:F30"/>
    <mergeCell ref="B5:I5"/>
    <mergeCell ref="B17:I17"/>
  </mergeCells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EA398-5ABD-4784-905A-536B60DB97FF}">
  <dimension ref="A1:Q69"/>
  <sheetViews>
    <sheetView showGridLines="0" topLeftCell="A20" zoomScale="70" zoomScaleNormal="70" workbookViewId="0">
      <selection activeCell="G20" sqref="G20"/>
    </sheetView>
  </sheetViews>
  <sheetFormatPr defaultRowHeight="14.5" x14ac:dyDescent="0.35"/>
  <cols>
    <col min="2" max="2" width="18.54296875" customWidth="1"/>
    <col min="3" max="3" width="16.7265625" bestFit="1" customWidth="1"/>
    <col min="4" max="4" width="22.81640625" bestFit="1" customWidth="1"/>
    <col min="5" max="5" width="35" customWidth="1"/>
    <col min="6" max="6" width="17" bestFit="1" customWidth="1"/>
    <col min="7" max="7" width="21.7265625" bestFit="1" customWidth="1"/>
    <col min="8" max="8" width="33" bestFit="1" customWidth="1"/>
    <col min="9" max="9" width="21.453125" customWidth="1"/>
    <col min="10" max="10" width="20.54296875" customWidth="1"/>
    <col min="11" max="11" width="19.1796875" bestFit="1" customWidth="1"/>
    <col min="12" max="12" width="19.54296875" bestFit="1" customWidth="1"/>
    <col min="13" max="14" width="18" hidden="1" customWidth="1"/>
    <col min="15" max="15" width="17" bestFit="1" customWidth="1"/>
    <col min="16" max="17" width="14.54296875" bestFit="1" customWidth="1"/>
  </cols>
  <sheetData>
    <row r="1" spans="1:17" x14ac:dyDescent="0.35"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</row>
    <row r="2" spans="1:17" ht="15" customHeight="1" x14ac:dyDescent="0.35">
      <c r="A2" s="349" t="s">
        <v>239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</row>
    <row r="3" spans="1:17" ht="15" customHeight="1" x14ac:dyDescent="0.35">
      <c r="A3" s="349"/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</row>
    <row r="4" spans="1:17" x14ac:dyDescent="0.3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</row>
    <row r="5" spans="1:17" x14ac:dyDescent="0.35">
      <c r="O5" s="174"/>
    </row>
    <row r="6" spans="1:17" x14ac:dyDescent="0.35">
      <c r="G6" s="350" t="s">
        <v>221</v>
      </c>
      <c r="H6" s="351"/>
      <c r="I6" s="351"/>
      <c r="J6" s="351"/>
      <c r="K6" s="351"/>
      <c r="L6" s="351"/>
      <c r="M6" s="351"/>
      <c r="N6" s="351"/>
    </row>
    <row r="7" spans="1:17" ht="14.5" customHeight="1" x14ac:dyDescent="0.35">
      <c r="F7" s="175"/>
      <c r="G7" s="352" t="s">
        <v>222</v>
      </c>
      <c r="H7" s="353"/>
      <c r="I7" s="353"/>
      <c r="J7" s="353"/>
      <c r="K7" s="353"/>
      <c r="L7" s="353"/>
      <c r="M7" s="353"/>
      <c r="N7" s="353"/>
    </row>
    <row r="8" spans="1:17" ht="29" x14ac:dyDescent="0.35">
      <c r="B8" s="354" t="s">
        <v>223</v>
      </c>
      <c r="C8" s="355"/>
      <c r="D8" s="176" t="s">
        <v>224</v>
      </c>
      <c r="E8" s="167"/>
      <c r="F8" s="177" t="s">
        <v>225</v>
      </c>
      <c r="G8" s="178" t="s">
        <v>226</v>
      </c>
      <c r="H8" s="178" t="s">
        <v>227</v>
      </c>
      <c r="I8" s="178" t="s">
        <v>228</v>
      </c>
      <c r="J8" s="178" t="s">
        <v>229</v>
      </c>
      <c r="K8" s="178" t="s">
        <v>230</v>
      </c>
      <c r="L8" s="178" t="s">
        <v>231</v>
      </c>
      <c r="M8" s="178" t="s">
        <v>232</v>
      </c>
      <c r="N8" s="178" t="s">
        <v>233</v>
      </c>
    </row>
    <row r="9" spans="1:17" x14ac:dyDescent="0.35">
      <c r="B9" s="253">
        <v>43952</v>
      </c>
      <c r="C9" s="254">
        <v>-0.38</v>
      </c>
      <c r="D9" s="254">
        <f>ROUND(E9*(1+C9/100),2)</f>
        <v>99.62</v>
      </c>
      <c r="E9" s="167">
        <v>100</v>
      </c>
      <c r="F9" s="180" t="s">
        <v>234</v>
      </c>
      <c r="G9" s="181">
        <v>121661795.08</v>
      </c>
      <c r="H9" s="182">
        <f>ROUND(G9*(D16/D11),2)</f>
        <v>126577300.56999999</v>
      </c>
      <c r="I9" s="183">
        <f>L9-M9</f>
        <v>1720556.2700000005</v>
      </c>
      <c r="J9" s="182">
        <f>H9-G9</f>
        <v>4915505.4899999946</v>
      </c>
      <c r="K9" s="182">
        <f>ROUND((H$9/24),2)</f>
        <v>5274054.1900000004</v>
      </c>
      <c r="L9" s="184">
        <f>K9</f>
        <v>5274054.1900000004</v>
      </c>
      <c r="M9" s="185">
        <f>ROUND(N9*75%,2)</f>
        <v>3553497.92</v>
      </c>
      <c r="N9" s="185">
        <f>ROUND(4737997.22622149,2)</f>
        <v>4737997.2300000004</v>
      </c>
      <c r="O9" s="11"/>
    </row>
    <row r="10" spans="1:17" x14ac:dyDescent="0.35">
      <c r="B10" s="253">
        <v>43983</v>
      </c>
      <c r="C10" s="254">
        <v>0.26</v>
      </c>
      <c r="D10" s="254">
        <f t="shared" ref="D10:D17" si="0">ROUND(D9*(1+C10/100),2)</f>
        <v>99.88</v>
      </c>
      <c r="E10" s="167"/>
      <c r="F10" s="251">
        <v>45200</v>
      </c>
      <c r="G10" s="223">
        <f>ROUND(H9-L9+I9,2)</f>
        <v>123023802.65000001</v>
      </c>
      <c r="H10" s="223">
        <f>(ROUND((G10*(1+C17%))*(1+C19%),2))</f>
        <v>148246676.40000001</v>
      </c>
      <c r="I10" s="224">
        <v>0</v>
      </c>
      <c r="J10" s="224">
        <v>0</v>
      </c>
      <c r="K10" s="224">
        <f>ROUND((H$10/35),2)</f>
        <v>4235619.33</v>
      </c>
      <c r="L10" s="225">
        <f>J10+K10</f>
        <v>4235619.33</v>
      </c>
      <c r="M10" s="187" t="e">
        <f>ROUND(N10*75%,2)</f>
        <v>#REF!</v>
      </c>
      <c r="N10" s="187" t="e">
        <f>'Carvão &amp; Total'!#REF!</f>
        <v>#REF!</v>
      </c>
    </row>
    <row r="11" spans="1:17" x14ac:dyDescent="0.35">
      <c r="B11" s="253">
        <v>44013</v>
      </c>
      <c r="C11" s="254">
        <v>0.36</v>
      </c>
      <c r="D11" s="254">
        <f t="shared" si="0"/>
        <v>100.24</v>
      </c>
      <c r="E11" s="189"/>
      <c r="F11" s="221">
        <v>45231</v>
      </c>
      <c r="G11" s="222">
        <f t="shared" ref="G11:G43" si="1">ROUND(H10-L10+I10,2)</f>
        <v>144011057.06999999</v>
      </c>
      <c r="H11" s="223">
        <f>ROUND(G11*(1+C20%),2)</f>
        <v>144356683.61000001</v>
      </c>
      <c r="I11" s="252">
        <v>0</v>
      </c>
      <c r="J11" s="252">
        <f>ROUND(H11-G11,2)</f>
        <v>345626.54</v>
      </c>
      <c r="K11" s="252">
        <f t="shared" ref="K11:K45" si="2">ROUND((H$10/35),2)</f>
        <v>4235619.33</v>
      </c>
      <c r="L11" s="225">
        <f>J11+K11</f>
        <v>4581245.87</v>
      </c>
      <c r="M11" s="211" t="e">
        <f t="shared" ref="M11:M45" si="3">ROUND(N11*75%,2)</f>
        <v>#REF!</v>
      </c>
      <c r="N11" s="187" t="e">
        <f>'Carvão &amp; Total'!#REF!</f>
        <v>#REF!</v>
      </c>
    </row>
    <row r="12" spans="1:17" x14ac:dyDescent="0.35">
      <c r="B12" s="253">
        <v>44044</v>
      </c>
      <c r="C12" s="255">
        <v>0.24</v>
      </c>
      <c r="D12" s="254">
        <f t="shared" si="0"/>
        <v>100.48</v>
      </c>
      <c r="E12" s="194"/>
      <c r="F12" s="221">
        <v>45261</v>
      </c>
      <c r="G12" s="222">
        <f t="shared" si="1"/>
        <v>139775437.74000001</v>
      </c>
      <c r="H12" s="223">
        <f t="shared" ref="H12:H45" si="4">ROUND(G12*(1+C21%),2)</f>
        <v>140166808.97</v>
      </c>
      <c r="I12" s="252">
        <f t="shared" ref="I12:I45" si="5">IF(M12&gt;L12,0,L12-M12)</f>
        <v>0</v>
      </c>
      <c r="J12" s="252">
        <f t="shared" ref="J12:J45" si="6">ROUND(H12-G12,2)</f>
        <v>391371.23</v>
      </c>
      <c r="K12" s="252">
        <f t="shared" si="2"/>
        <v>4235619.33</v>
      </c>
      <c r="L12" s="225">
        <f t="shared" ref="L12:L45" si="7">J12+K12</f>
        <v>4626990.5600000005</v>
      </c>
      <c r="M12" s="211">
        <f t="shared" si="3"/>
        <v>9660651.4499999993</v>
      </c>
      <c r="N12" s="188">
        <v>12880868.60544</v>
      </c>
    </row>
    <row r="13" spans="1:17" x14ac:dyDescent="0.35">
      <c r="B13" s="253">
        <v>44075</v>
      </c>
      <c r="C13" s="247">
        <v>0.64</v>
      </c>
      <c r="D13" s="254">
        <f t="shared" si="0"/>
        <v>101.12</v>
      </c>
      <c r="E13" s="194"/>
      <c r="F13" s="221">
        <v>45292</v>
      </c>
      <c r="G13" s="222">
        <f t="shared" si="1"/>
        <v>135539818.41</v>
      </c>
      <c r="H13" s="223">
        <f t="shared" si="4"/>
        <v>136298841.38999999</v>
      </c>
      <c r="I13" s="252">
        <f t="shared" si="5"/>
        <v>0</v>
      </c>
      <c r="J13" s="252">
        <f t="shared" si="6"/>
        <v>759022.98</v>
      </c>
      <c r="K13" s="252">
        <f t="shared" si="2"/>
        <v>4235619.33</v>
      </c>
      <c r="L13" s="225">
        <f t="shared" si="7"/>
        <v>4994642.3100000005</v>
      </c>
      <c r="M13" s="211">
        <f t="shared" si="3"/>
        <v>11034509.699999999</v>
      </c>
      <c r="N13" s="188">
        <v>14712679.6</v>
      </c>
    </row>
    <row r="14" spans="1:17" x14ac:dyDescent="0.35">
      <c r="B14" s="253">
        <v>44105</v>
      </c>
      <c r="C14" s="247">
        <v>0.86</v>
      </c>
      <c r="D14" s="254">
        <f t="shared" si="0"/>
        <v>101.99</v>
      </c>
      <c r="E14" s="194"/>
      <c r="F14" s="221">
        <v>45323</v>
      </c>
      <c r="G14" s="222">
        <f t="shared" si="1"/>
        <v>131304199.08</v>
      </c>
      <c r="H14" s="223">
        <f t="shared" si="4"/>
        <v>131855676.72</v>
      </c>
      <c r="I14" s="252">
        <f t="shared" si="5"/>
        <v>0</v>
      </c>
      <c r="J14" s="252">
        <f t="shared" si="6"/>
        <v>551477.64</v>
      </c>
      <c r="K14" s="252">
        <f t="shared" si="2"/>
        <v>4235619.33</v>
      </c>
      <c r="L14" s="225">
        <f t="shared" si="7"/>
        <v>4787096.97</v>
      </c>
      <c r="M14" s="193">
        <f t="shared" si="3"/>
        <v>10383513.630000001</v>
      </c>
      <c r="N14" s="188">
        <v>13844684.84</v>
      </c>
    </row>
    <row r="15" spans="1:17" x14ac:dyDescent="0.35">
      <c r="B15" s="253">
        <v>44136</v>
      </c>
      <c r="C15" s="247">
        <v>0.89</v>
      </c>
      <c r="D15" s="254">
        <f t="shared" si="0"/>
        <v>102.9</v>
      </c>
      <c r="E15" s="194"/>
      <c r="F15" s="221">
        <v>45352</v>
      </c>
      <c r="G15" s="222">
        <f t="shared" si="1"/>
        <v>127068579.75</v>
      </c>
      <c r="H15" s="223">
        <f t="shared" si="4"/>
        <v>128123248.95999999</v>
      </c>
      <c r="I15" s="252">
        <f t="shared" si="5"/>
        <v>0</v>
      </c>
      <c r="J15" s="252">
        <f t="shared" si="6"/>
        <v>1054669.21</v>
      </c>
      <c r="K15" s="252">
        <f t="shared" si="2"/>
        <v>4235619.33</v>
      </c>
      <c r="L15" s="225">
        <f t="shared" si="7"/>
        <v>5290288.54</v>
      </c>
      <c r="M15" s="193">
        <f t="shared" si="3"/>
        <v>10377939.039999999</v>
      </c>
      <c r="N15" s="188">
        <v>13837252.049999999</v>
      </c>
    </row>
    <row r="16" spans="1:17" x14ac:dyDescent="0.35">
      <c r="B16" s="253">
        <v>44166</v>
      </c>
      <c r="C16" s="247">
        <v>1.35</v>
      </c>
      <c r="D16" s="254">
        <f t="shared" si="0"/>
        <v>104.29</v>
      </c>
      <c r="E16" s="194"/>
      <c r="F16" s="221">
        <v>45383</v>
      </c>
      <c r="G16" s="222">
        <f t="shared" si="1"/>
        <v>122832960.42</v>
      </c>
      <c r="H16" s="223">
        <f t="shared" si="4"/>
        <v>123029493.16</v>
      </c>
      <c r="I16" s="224">
        <f t="shared" si="5"/>
        <v>0</v>
      </c>
      <c r="J16" s="224">
        <f>ROUND(H16-G16,2)</f>
        <v>196532.74</v>
      </c>
      <c r="K16" s="224">
        <f t="shared" si="2"/>
        <v>4235619.33</v>
      </c>
      <c r="L16" s="225">
        <f t="shared" si="7"/>
        <v>4432152.07</v>
      </c>
      <c r="M16" s="193">
        <f t="shared" si="3"/>
        <v>10778473.15</v>
      </c>
      <c r="N16" s="188">
        <v>14371297.532557564</v>
      </c>
    </row>
    <row r="17" spans="2:16" ht="14.25" customHeight="1" x14ac:dyDescent="0.35">
      <c r="B17" s="256" t="s">
        <v>235</v>
      </c>
      <c r="C17" s="257">
        <v>20.18994</v>
      </c>
      <c r="D17" s="254">
        <f t="shared" si="0"/>
        <v>125.35</v>
      </c>
      <c r="E17" s="195"/>
      <c r="F17" s="221">
        <v>45413</v>
      </c>
      <c r="G17" s="222">
        <f>ROUND(H16-L16+I16,2)</f>
        <v>118597341.09</v>
      </c>
      <c r="H17" s="223">
        <f t="shared" si="4"/>
        <v>119048010.98999999</v>
      </c>
      <c r="I17" s="224">
        <f t="shared" si="5"/>
        <v>0</v>
      </c>
      <c r="J17" s="224">
        <f t="shared" si="6"/>
        <v>450669.9</v>
      </c>
      <c r="K17" s="224">
        <f t="shared" si="2"/>
        <v>4235619.33</v>
      </c>
      <c r="L17" s="225">
        <f t="shared" si="7"/>
        <v>4686289.2300000004</v>
      </c>
      <c r="M17" s="193">
        <f t="shared" si="3"/>
        <v>11763750.33</v>
      </c>
      <c r="N17" s="188">
        <v>15685000.44631476</v>
      </c>
    </row>
    <row r="18" spans="2:16" x14ac:dyDescent="0.35">
      <c r="B18" s="356"/>
      <c r="C18" s="357"/>
      <c r="D18" s="254" t="s">
        <v>224</v>
      </c>
      <c r="E18" s="194"/>
      <c r="F18" s="221">
        <v>45444</v>
      </c>
      <c r="G18" s="222">
        <f t="shared" si="1"/>
        <v>114361721.76000001</v>
      </c>
      <c r="H18" s="223">
        <f t="shared" si="4"/>
        <v>114887785.68000001</v>
      </c>
      <c r="I18" s="224">
        <f t="shared" si="5"/>
        <v>0</v>
      </c>
      <c r="J18" s="224">
        <f t="shared" si="6"/>
        <v>526063.92000000004</v>
      </c>
      <c r="K18" s="224">
        <f t="shared" si="2"/>
        <v>4235619.33</v>
      </c>
      <c r="L18" s="225">
        <f t="shared" si="7"/>
        <v>4761683.25</v>
      </c>
      <c r="M18" s="193">
        <f t="shared" si="3"/>
        <v>11767072.66</v>
      </c>
      <c r="N18" s="188">
        <v>15689430.210546136</v>
      </c>
    </row>
    <row r="19" spans="2:16" x14ac:dyDescent="0.35">
      <c r="B19" s="253">
        <v>45170</v>
      </c>
      <c r="C19" s="257">
        <v>0.26</v>
      </c>
      <c r="D19" s="257">
        <f>ROUND(D17*(1+C17/100),6)</f>
        <v>150.65808999999999</v>
      </c>
      <c r="E19" s="194"/>
      <c r="F19" s="221">
        <v>45474</v>
      </c>
      <c r="G19" s="222">
        <f t="shared" si="1"/>
        <v>110126102.43000001</v>
      </c>
      <c r="H19" s="223">
        <f t="shared" si="4"/>
        <v>110357367.25</v>
      </c>
      <c r="I19" s="224">
        <f t="shared" si="5"/>
        <v>0</v>
      </c>
      <c r="J19" s="224">
        <f t="shared" si="6"/>
        <v>231264.82</v>
      </c>
      <c r="K19" s="224">
        <f t="shared" si="2"/>
        <v>4235619.33</v>
      </c>
      <c r="L19" s="225">
        <f t="shared" si="7"/>
        <v>4466884.1500000004</v>
      </c>
      <c r="M19" s="193">
        <f t="shared" si="3"/>
        <v>11771419.85</v>
      </c>
      <c r="N19" s="188">
        <v>15695226.4631039</v>
      </c>
    </row>
    <row r="20" spans="2:16" x14ac:dyDescent="0.35">
      <c r="B20" s="253">
        <v>45200</v>
      </c>
      <c r="C20" s="257">
        <v>0.24</v>
      </c>
      <c r="D20" s="257">
        <f>ROUND(D19*(1+C19/100),6)</f>
        <v>151.049801</v>
      </c>
      <c r="E20" s="198"/>
      <c r="F20" s="221">
        <v>45505</v>
      </c>
      <c r="G20" s="222">
        <f>ROUND(H19-L19+I19,2)</f>
        <v>105890483.09999999</v>
      </c>
      <c r="H20" s="223">
        <f>ROUND(G20*(1+C29%),2)</f>
        <v>106292866.94</v>
      </c>
      <c r="I20" s="224">
        <f t="shared" si="5"/>
        <v>0</v>
      </c>
      <c r="J20" s="224">
        <f>ROUND(H20-G20,2)</f>
        <v>402383.84</v>
      </c>
      <c r="K20" s="224">
        <f t="shared" si="2"/>
        <v>4235619.33</v>
      </c>
      <c r="L20" s="225">
        <f t="shared" si="7"/>
        <v>4638003.17</v>
      </c>
      <c r="M20" s="193">
        <f t="shared" si="3"/>
        <v>11779127.699999999</v>
      </c>
      <c r="N20" s="188">
        <v>15705503.59713521</v>
      </c>
    </row>
    <row r="21" spans="2:16" x14ac:dyDescent="0.35">
      <c r="B21" s="253">
        <v>45231</v>
      </c>
      <c r="C21" s="257">
        <v>0.28000000000000003</v>
      </c>
      <c r="D21" s="257">
        <f>ROUND(D20*(1+C21/100),6)</f>
        <v>151.47273999999999</v>
      </c>
      <c r="E21" s="198"/>
      <c r="F21" s="221">
        <v>45536</v>
      </c>
      <c r="G21" s="222">
        <f t="shared" si="1"/>
        <v>101654863.77</v>
      </c>
      <c r="H21" s="223">
        <f>ROUND(G21*IF(C30&gt;0,(1+C30%),1),2)</f>
        <v>101654863.77</v>
      </c>
      <c r="I21" s="224">
        <f t="shared" si="5"/>
        <v>0</v>
      </c>
      <c r="J21" s="224">
        <f t="shared" si="6"/>
        <v>0</v>
      </c>
      <c r="K21" s="224">
        <f t="shared" si="2"/>
        <v>4235619.33</v>
      </c>
      <c r="L21" s="225">
        <f t="shared" si="7"/>
        <v>4235619.33</v>
      </c>
      <c r="M21" s="193">
        <f t="shared" si="3"/>
        <v>11779926.859999999</v>
      </c>
      <c r="N21" s="188">
        <v>15706569.149199724</v>
      </c>
    </row>
    <row r="22" spans="2:16" x14ac:dyDescent="0.35">
      <c r="B22" s="253">
        <v>45261</v>
      </c>
      <c r="C22" s="257">
        <v>0.56000000000000005</v>
      </c>
      <c r="D22" s="257">
        <f t="shared" ref="D22:D55" si="8">ROUND(D21*(1+C22/100),6)</f>
        <v>152.320987</v>
      </c>
      <c r="E22" s="198"/>
      <c r="F22" s="221">
        <v>45566</v>
      </c>
      <c r="G22" s="222">
        <f t="shared" si="1"/>
        <v>97419244.439999998</v>
      </c>
      <c r="H22" s="223">
        <f t="shared" ref="H22:H44" si="9">ROUND(G22*IF(C31&gt;0,(1+C31%),1),2)</f>
        <v>97847889.120000005</v>
      </c>
      <c r="I22" s="224">
        <f t="shared" si="5"/>
        <v>0</v>
      </c>
      <c r="J22" s="224">
        <f t="shared" si="6"/>
        <v>428644.68</v>
      </c>
      <c r="K22" s="224">
        <f t="shared" si="2"/>
        <v>4235619.33</v>
      </c>
      <c r="L22" s="225">
        <f t="shared" si="7"/>
        <v>4664264.01</v>
      </c>
      <c r="M22" s="193">
        <f t="shared" si="3"/>
        <v>11790356.130000001</v>
      </c>
      <c r="N22" s="188">
        <v>15720474.834426723</v>
      </c>
    </row>
    <row r="23" spans="2:16" x14ac:dyDescent="0.35">
      <c r="B23" s="253">
        <v>45292</v>
      </c>
      <c r="C23" s="257">
        <v>0.42</v>
      </c>
      <c r="D23" s="257">
        <f t="shared" si="8"/>
        <v>152.960735</v>
      </c>
      <c r="E23" s="198"/>
      <c r="F23" s="221">
        <v>45597</v>
      </c>
      <c r="G23" s="222">
        <f t="shared" si="1"/>
        <v>93183625.109999999</v>
      </c>
      <c r="H23" s="223">
        <f t="shared" si="9"/>
        <v>93705453.409999996</v>
      </c>
      <c r="I23" s="224">
        <f t="shared" si="5"/>
        <v>0</v>
      </c>
      <c r="J23" s="224">
        <f t="shared" si="6"/>
        <v>521828.3</v>
      </c>
      <c r="K23" s="224">
        <f t="shared" si="2"/>
        <v>4235619.33</v>
      </c>
      <c r="L23" s="225">
        <f t="shared" si="7"/>
        <v>4757447.63</v>
      </c>
      <c r="M23" s="193">
        <f t="shared" si="3"/>
        <v>11795722.26</v>
      </c>
      <c r="N23" s="188">
        <v>15727629.674994478</v>
      </c>
    </row>
    <row r="24" spans="2:16" x14ac:dyDescent="0.35">
      <c r="B24" s="253">
        <v>45323</v>
      </c>
      <c r="C24" s="257">
        <v>0.83</v>
      </c>
      <c r="D24" s="257">
        <f t="shared" si="8"/>
        <v>154.23030900000001</v>
      </c>
      <c r="F24" s="221">
        <v>45627</v>
      </c>
      <c r="G24" s="222">
        <f t="shared" si="1"/>
        <v>88948005.780000001</v>
      </c>
      <c r="H24" s="223">
        <f t="shared" si="9"/>
        <v>89294903</v>
      </c>
      <c r="I24" s="224">
        <f t="shared" si="5"/>
        <v>0</v>
      </c>
      <c r="J24" s="224">
        <f t="shared" si="6"/>
        <v>346897.22</v>
      </c>
      <c r="K24" s="224">
        <f t="shared" si="2"/>
        <v>4235619.33</v>
      </c>
      <c r="L24" s="225">
        <f t="shared" si="7"/>
        <v>4582516.55</v>
      </c>
      <c r="M24" s="193">
        <f t="shared" si="3"/>
        <v>11803339.4</v>
      </c>
      <c r="N24" s="188">
        <v>15737785.861146726</v>
      </c>
    </row>
    <row r="25" spans="2:16" x14ac:dyDescent="0.35">
      <c r="B25" s="253">
        <v>45352</v>
      </c>
      <c r="C25" s="257">
        <v>0.16</v>
      </c>
      <c r="D25" s="257">
        <f t="shared" si="8"/>
        <v>154.47707700000001</v>
      </c>
      <c r="F25" s="221">
        <v>45658</v>
      </c>
      <c r="G25" s="222">
        <f t="shared" si="1"/>
        <v>84712386.450000003</v>
      </c>
      <c r="H25" s="223">
        <f t="shared" si="9"/>
        <v>85152890.859999999</v>
      </c>
      <c r="I25" s="224">
        <f t="shared" si="5"/>
        <v>0</v>
      </c>
      <c r="J25" s="224">
        <f t="shared" si="6"/>
        <v>440504.41</v>
      </c>
      <c r="K25" s="224">
        <f t="shared" si="2"/>
        <v>4235619.33</v>
      </c>
      <c r="L25" s="225">
        <f t="shared" si="7"/>
        <v>4676123.74</v>
      </c>
      <c r="M25" s="193">
        <f t="shared" si="3"/>
        <v>11800149.9</v>
      </c>
      <c r="N25" s="199">
        <v>15733533.197739594</v>
      </c>
      <c r="O25" s="65"/>
      <c r="P25" s="65"/>
    </row>
    <row r="26" spans="2:16" x14ac:dyDescent="0.35">
      <c r="B26" s="253">
        <v>45383</v>
      </c>
      <c r="C26" s="247">
        <v>0.38</v>
      </c>
      <c r="D26" s="247">
        <f t="shared" si="8"/>
        <v>155.06408999999999</v>
      </c>
      <c r="F26" s="221">
        <v>45689</v>
      </c>
      <c r="G26" s="222">
        <f t="shared" si="1"/>
        <v>80476767.120000005</v>
      </c>
      <c r="H26" s="223">
        <f t="shared" si="9"/>
        <v>80605529.950000003</v>
      </c>
      <c r="I26" s="224">
        <f t="shared" si="5"/>
        <v>0</v>
      </c>
      <c r="J26" s="224">
        <f t="shared" si="6"/>
        <v>128762.83</v>
      </c>
      <c r="K26" s="224">
        <f t="shared" si="2"/>
        <v>4235619.33</v>
      </c>
      <c r="L26" s="225">
        <f t="shared" si="7"/>
        <v>4364382.16</v>
      </c>
      <c r="M26" s="193">
        <f t="shared" si="3"/>
        <v>11800149.9</v>
      </c>
      <c r="N26" s="199">
        <v>15733533.197739594</v>
      </c>
    </row>
    <row r="27" spans="2:16" x14ac:dyDescent="0.35">
      <c r="B27" s="253">
        <v>45413</v>
      </c>
      <c r="C27" s="247">
        <v>0.46</v>
      </c>
      <c r="D27" s="247">
        <f t="shared" si="8"/>
        <v>155.77738500000001</v>
      </c>
      <c r="F27" s="221">
        <v>45717</v>
      </c>
      <c r="G27" s="222">
        <f t="shared" si="1"/>
        <v>76241147.790000007</v>
      </c>
      <c r="H27" s="223">
        <f t="shared" si="9"/>
        <v>77013546.859999999</v>
      </c>
      <c r="I27" s="224">
        <f t="shared" si="5"/>
        <v>0</v>
      </c>
      <c r="J27" s="224">
        <f t="shared" si="6"/>
        <v>772399.07</v>
      </c>
      <c r="K27" s="224">
        <f t="shared" si="2"/>
        <v>4235619.33</v>
      </c>
      <c r="L27" s="225">
        <f t="shared" si="7"/>
        <v>5008018.4000000004</v>
      </c>
      <c r="M27" s="193">
        <f t="shared" si="3"/>
        <v>11800149.9</v>
      </c>
      <c r="N27" s="199">
        <v>15733533.197739594</v>
      </c>
    </row>
    <row r="28" spans="2:16" x14ac:dyDescent="0.35">
      <c r="B28" s="253">
        <v>45444</v>
      </c>
      <c r="C28" s="247">
        <v>0.21</v>
      </c>
      <c r="D28" s="247">
        <f t="shared" si="8"/>
        <v>156.10451800000001</v>
      </c>
      <c r="F28" s="221">
        <v>45748</v>
      </c>
      <c r="G28" s="222">
        <f t="shared" si="1"/>
        <v>72005528.459999993</v>
      </c>
      <c r="H28" s="223">
        <f t="shared" si="9"/>
        <v>72408759.420000002</v>
      </c>
      <c r="I28" s="224">
        <f t="shared" si="5"/>
        <v>0</v>
      </c>
      <c r="J28" s="224">
        <f t="shared" si="6"/>
        <v>403230.96</v>
      </c>
      <c r="K28" s="224">
        <f t="shared" si="2"/>
        <v>4235619.33</v>
      </c>
      <c r="L28" s="225">
        <f t="shared" si="7"/>
        <v>4638850.29</v>
      </c>
      <c r="M28" s="193">
        <f t="shared" si="3"/>
        <v>11800149.9</v>
      </c>
      <c r="N28" s="199">
        <v>15733533.197739594</v>
      </c>
    </row>
    <row r="29" spans="2:16" x14ac:dyDescent="0.35">
      <c r="B29" s="253">
        <v>45474</v>
      </c>
      <c r="C29" s="247">
        <v>0.38</v>
      </c>
      <c r="D29" s="247">
        <f t="shared" si="8"/>
        <v>156.69771499999999</v>
      </c>
      <c r="F29" s="221">
        <v>45778</v>
      </c>
      <c r="G29" s="222">
        <f t="shared" si="1"/>
        <v>67769909.129999995</v>
      </c>
      <c r="H29" s="223">
        <f t="shared" si="9"/>
        <v>68061319.739999995</v>
      </c>
      <c r="I29" s="224">
        <f t="shared" si="5"/>
        <v>0</v>
      </c>
      <c r="J29" s="224">
        <f t="shared" si="6"/>
        <v>291410.61</v>
      </c>
      <c r="K29" s="224">
        <f t="shared" si="2"/>
        <v>4235619.33</v>
      </c>
      <c r="L29" s="225">
        <f t="shared" si="7"/>
        <v>4527029.9400000004</v>
      </c>
      <c r="M29" s="193">
        <f t="shared" si="3"/>
        <v>11800149.9</v>
      </c>
      <c r="N29" s="199">
        <v>15733533.197739594</v>
      </c>
    </row>
    <row r="30" spans="2:16" x14ac:dyDescent="0.35">
      <c r="B30" s="253">
        <v>45505</v>
      </c>
      <c r="C30" s="257">
        <v>-0.02</v>
      </c>
      <c r="D30" s="257">
        <f t="shared" si="8"/>
        <v>156.66637499999999</v>
      </c>
      <c r="F30" s="221">
        <v>45809</v>
      </c>
      <c r="G30" s="222">
        <f>ROUND(H29-L29+I29,2)</f>
        <v>63534289.799999997</v>
      </c>
      <c r="H30" s="223">
        <f t="shared" si="9"/>
        <v>63699478.950000003</v>
      </c>
      <c r="I30" s="224">
        <f t="shared" si="5"/>
        <v>0</v>
      </c>
      <c r="J30" s="224">
        <f t="shared" si="6"/>
        <v>165189.15</v>
      </c>
      <c r="K30" s="224">
        <f t="shared" si="2"/>
        <v>4235619.33</v>
      </c>
      <c r="L30" s="225">
        <f t="shared" si="7"/>
        <v>4400808.4800000004</v>
      </c>
      <c r="M30" s="193">
        <f t="shared" si="3"/>
        <v>11800149.9</v>
      </c>
      <c r="N30" s="199">
        <v>15733533.197739594</v>
      </c>
    </row>
    <row r="31" spans="2:16" x14ac:dyDescent="0.35">
      <c r="B31" s="253">
        <v>45536</v>
      </c>
      <c r="C31" s="247">
        <v>0.44</v>
      </c>
      <c r="D31" s="247">
        <f t="shared" si="8"/>
        <v>157.355707</v>
      </c>
      <c r="E31" s="200"/>
      <c r="F31" s="221">
        <v>45839</v>
      </c>
      <c r="G31" s="222">
        <f t="shared" si="1"/>
        <v>59298670.469999999</v>
      </c>
      <c r="H31" s="223">
        <f t="shared" si="9"/>
        <v>59440987.280000001</v>
      </c>
      <c r="I31" s="224">
        <f t="shared" si="5"/>
        <v>0</v>
      </c>
      <c r="J31" s="224">
        <f t="shared" si="6"/>
        <v>142316.81</v>
      </c>
      <c r="K31" s="224">
        <f t="shared" si="2"/>
        <v>4235619.33</v>
      </c>
      <c r="L31" s="225">
        <f t="shared" si="7"/>
        <v>4377936.1399999997</v>
      </c>
      <c r="M31" s="193">
        <f t="shared" si="3"/>
        <v>11800149.9</v>
      </c>
      <c r="N31" s="199">
        <v>15733533.197739594</v>
      </c>
    </row>
    <row r="32" spans="2:16" x14ac:dyDescent="0.35">
      <c r="B32" s="253">
        <v>45566</v>
      </c>
      <c r="C32" s="247">
        <v>0.56000000000000005</v>
      </c>
      <c r="D32" s="247">
        <f t="shared" si="8"/>
        <v>158.23689899999999</v>
      </c>
      <c r="F32" s="221">
        <v>45870</v>
      </c>
      <c r="G32" s="222">
        <f t="shared" si="1"/>
        <v>55063051.140000001</v>
      </c>
      <c r="H32" s="223">
        <f t="shared" si="9"/>
        <v>55206215.07</v>
      </c>
      <c r="I32" s="224">
        <f t="shared" si="5"/>
        <v>0</v>
      </c>
      <c r="J32" s="224">
        <f t="shared" si="6"/>
        <v>143163.93</v>
      </c>
      <c r="K32" s="224">
        <f t="shared" si="2"/>
        <v>4235619.33</v>
      </c>
      <c r="L32" s="225">
        <f t="shared" si="7"/>
        <v>4378783.26</v>
      </c>
      <c r="M32" s="193">
        <f t="shared" si="3"/>
        <v>11800149.9</v>
      </c>
      <c r="N32" s="199">
        <v>15733533.197739594</v>
      </c>
    </row>
    <row r="33" spans="2:14" x14ac:dyDescent="0.35">
      <c r="B33" s="253">
        <v>45597</v>
      </c>
      <c r="C33" s="247">
        <v>0.39</v>
      </c>
      <c r="D33" s="247">
        <f t="shared" si="8"/>
        <v>158.85402300000001</v>
      </c>
      <c r="F33" s="221">
        <v>45901</v>
      </c>
      <c r="G33" s="222">
        <f t="shared" si="1"/>
        <v>50827431.810000002</v>
      </c>
      <c r="H33" s="223">
        <f t="shared" si="9"/>
        <v>50827431.810000002</v>
      </c>
      <c r="I33" s="224">
        <f t="shared" si="5"/>
        <v>0</v>
      </c>
      <c r="J33" s="224">
        <f>ROUND(H33-G33,2)</f>
        <v>0</v>
      </c>
      <c r="K33" s="224">
        <f t="shared" si="2"/>
        <v>4235619.33</v>
      </c>
      <c r="L33" s="225">
        <f t="shared" si="7"/>
        <v>4235619.33</v>
      </c>
      <c r="M33" s="193">
        <f t="shared" si="3"/>
        <v>11800149.9</v>
      </c>
      <c r="N33" s="199">
        <v>15733533.197739594</v>
      </c>
    </row>
    <row r="34" spans="2:14" x14ac:dyDescent="0.35">
      <c r="B34" s="253">
        <v>45627</v>
      </c>
      <c r="C34" s="247">
        <v>0.52</v>
      </c>
      <c r="D34" s="247">
        <f t="shared" si="8"/>
        <v>159.68006399999999</v>
      </c>
      <c r="F34" s="221">
        <v>45931</v>
      </c>
      <c r="G34" s="222">
        <f t="shared" si="1"/>
        <v>46591812.479999997</v>
      </c>
      <c r="H34" s="223">
        <f t="shared" si="9"/>
        <v>46815453.18</v>
      </c>
      <c r="I34" s="224">
        <f>IF(M34&gt;L34,0,L34-M34)</f>
        <v>0</v>
      </c>
      <c r="J34" s="224">
        <f>ROUND(H34-G34,2)</f>
        <v>223640.7</v>
      </c>
      <c r="K34" s="224">
        <f t="shared" si="2"/>
        <v>4235619.33</v>
      </c>
      <c r="L34" s="225">
        <f t="shared" si="7"/>
        <v>4459260.03</v>
      </c>
      <c r="M34" s="193">
        <f t="shared" si="3"/>
        <v>11800149.9</v>
      </c>
      <c r="N34" s="199">
        <v>15733533.197739594</v>
      </c>
    </row>
    <row r="35" spans="2:14" x14ac:dyDescent="0.35">
      <c r="B35" s="253">
        <v>45658</v>
      </c>
      <c r="C35" s="247">
        <v>0.16</v>
      </c>
      <c r="D35" s="247">
        <f t="shared" si="8"/>
        <v>159.935552</v>
      </c>
      <c r="F35" s="263">
        <v>45962</v>
      </c>
      <c r="G35" s="264">
        <f t="shared" si="1"/>
        <v>42356193.149999999</v>
      </c>
      <c r="H35" s="208">
        <f t="shared" si="9"/>
        <v>42394313.719999999</v>
      </c>
      <c r="I35" s="207">
        <f t="shared" si="5"/>
        <v>0</v>
      </c>
      <c r="J35" s="207">
        <f t="shared" si="6"/>
        <v>38120.57</v>
      </c>
      <c r="K35" s="207">
        <f t="shared" si="2"/>
        <v>4235619.33</v>
      </c>
      <c r="L35" s="265">
        <f t="shared" si="7"/>
        <v>4273739.9000000004</v>
      </c>
      <c r="M35" s="193">
        <f t="shared" si="3"/>
        <v>11800149.9</v>
      </c>
      <c r="N35" s="199">
        <v>15733533.197739594</v>
      </c>
    </row>
    <row r="36" spans="2:14" x14ac:dyDescent="0.35">
      <c r="B36" s="253">
        <v>45689</v>
      </c>
      <c r="C36" s="247">
        <v>1.0130999999999999</v>
      </c>
      <c r="D36" s="247">
        <f t="shared" si="8"/>
        <v>161.555859</v>
      </c>
      <c r="F36" s="263">
        <v>45992</v>
      </c>
      <c r="G36" s="264">
        <f t="shared" si="1"/>
        <v>38120573.82</v>
      </c>
      <c r="H36" s="208">
        <f t="shared" si="9"/>
        <v>38189190.850000001</v>
      </c>
      <c r="I36" s="207">
        <f t="shared" si="5"/>
        <v>0</v>
      </c>
      <c r="J36" s="207">
        <f t="shared" si="6"/>
        <v>68617.03</v>
      </c>
      <c r="K36" s="207">
        <f t="shared" si="2"/>
        <v>4235619.33</v>
      </c>
      <c r="L36" s="265">
        <f t="shared" si="7"/>
        <v>4304236.3600000003</v>
      </c>
      <c r="M36" s="193">
        <f t="shared" si="3"/>
        <v>11800149.9</v>
      </c>
      <c r="N36" s="199">
        <v>15733533.197739594</v>
      </c>
    </row>
    <row r="37" spans="2:14" x14ac:dyDescent="0.35">
      <c r="B37" s="253">
        <v>45717</v>
      </c>
      <c r="C37" s="247">
        <v>0.56000000000000005</v>
      </c>
      <c r="D37" s="247">
        <f t="shared" si="8"/>
        <v>162.46057200000001</v>
      </c>
      <c r="F37" s="263">
        <v>46023</v>
      </c>
      <c r="G37" s="264">
        <f>ROUND(H36-L36+I36,2)</f>
        <v>33884954.490000002</v>
      </c>
      <c r="H37" s="208">
        <f>ROUND(G37*IF(C46&gt;0,(1+C46%),1),2)</f>
        <v>33996774.840000004</v>
      </c>
      <c r="I37" s="207">
        <f t="shared" si="5"/>
        <v>0</v>
      </c>
      <c r="J37" s="207">
        <f>ROUND(H37-G37,2)</f>
        <v>111820.35</v>
      </c>
      <c r="K37" s="207">
        <f>ROUND((H$10/35),2)</f>
        <v>4235619.33</v>
      </c>
      <c r="L37" s="265">
        <f t="shared" si="7"/>
        <v>4347439.68</v>
      </c>
      <c r="M37" s="193">
        <f t="shared" si="3"/>
        <v>11800149.9</v>
      </c>
      <c r="N37" s="199">
        <v>15733533.197739594</v>
      </c>
    </row>
    <row r="38" spans="2:14" x14ac:dyDescent="0.35">
      <c r="B38" s="253">
        <v>45748</v>
      </c>
      <c r="C38" s="247">
        <v>0.43</v>
      </c>
      <c r="D38" s="247">
        <f t="shared" si="8"/>
        <v>163.15915200000001</v>
      </c>
      <c r="F38" s="263">
        <v>46054</v>
      </c>
      <c r="G38" s="264">
        <f t="shared" si="1"/>
        <v>29649335.16</v>
      </c>
      <c r="H38" s="208">
        <f t="shared" si="9"/>
        <v>29747177.969999999</v>
      </c>
      <c r="I38" s="207">
        <f t="shared" si="5"/>
        <v>0</v>
      </c>
      <c r="J38" s="207">
        <f>ROUND(H38-G38,2)</f>
        <v>97842.81</v>
      </c>
      <c r="K38" s="207">
        <f t="shared" si="2"/>
        <v>4235619.33</v>
      </c>
      <c r="L38" s="265">
        <f>J38+K38</f>
        <v>4333462.1399999997</v>
      </c>
      <c r="M38" s="193">
        <f t="shared" si="3"/>
        <v>11800149.9</v>
      </c>
      <c r="N38" s="199">
        <v>15733533.197739594</v>
      </c>
    </row>
    <row r="39" spans="2:14" x14ac:dyDescent="0.35">
      <c r="B39" s="253">
        <v>45778</v>
      </c>
      <c r="C39" s="247">
        <v>0.26</v>
      </c>
      <c r="D39" s="247">
        <f t="shared" si="8"/>
        <v>163.58336600000001</v>
      </c>
      <c r="F39" s="263">
        <v>46082</v>
      </c>
      <c r="G39" s="264">
        <f t="shared" si="1"/>
        <v>25413715.829999998</v>
      </c>
      <c r="H39" s="208">
        <f t="shared" si="9"/>
        <v>25591611.84</v>
      </c>
      <c r="I39" s="207">
        <f t="shared" si="5"/>
        <v>0</v>
      </c>
      <c r="J39" s="207">
        <f t="shared" si="6"/>
        <v>177896.01</v>
      </c>
      <c r="K39" s="207">
        <f t="shared" si="2"/>
        <v>4235619.33</v>
      </c>
      <c r="L39" s="265">
        <f t="shared" si="7"/>
        <v>4413515.34</v>
      </c>
      <c r="M39" s="193">
        <f t="shared" si="3"/>
        <v>11800149.9</v>
      </c>
      <c r="N39" s="199">
        <v>15733533.197739594</v>
      </c>
    </row>
    <row r="40" spans="2:14" x14ac:dyDescent="0.35">
      <c r="B40" s="253">
        <v>45809</v>
      </c>
      <c r="C40" s="247">
        <v>0.24</v>
      </c>
      <c r="D40" s="247">
        <f t="shared" si="8"/>
        <v>163.975966</v>
      </c>
      <c r="F40" s="186">
        <v>46113</v>
      </c>
      <c r="G40" s="190">
        <f t="shared" si="1"/>
        <v>21178096.5</v>
      </c>
      <c r="H40" s="191">
        <f t="shared" si="9"/>
        <v>21302652.059999999</v>
      </c>
      <c r="I40" s="192">
        <f t="shared" si="5"/>
        <v>0</v>
      </c>
      <c r="J40" s="192">
        <f t="shared" si="6"/>
        <v>124555.56</v>
      </c>
      <c r="K40" s="192">
        <f t="shared" si="2"/>
        <v>4235619.33</v>
      </c>
      <c r="L40" s="193">
        <f t="shared" si="7"/>
        <v>4360174.8899999997</v>
      </c>
      <c r="M40" s="193">
        <f t="shared" si="3"/>
        <v>11800149.9</v>
      </c>
      <c r="N40" s="199">
        <v>15733533.197739594</v>
      </c>
    </row>
    <row r="41" spans="2:14" x14ac:dyDescent="0.35">
      <c r="B41" s="253">
        <v>45839</v>
      </c>
      <c r="C41" s="247">
        <v>0.26</v>
      </c>
      <c r="D41" s="247">
        <f t="shared" si="8"/>
        <v>164.40230399999999</v>
      </c>
      <c r="F41" s="186">
        <v>46143</v>
      </c>
      <c r="G41" s="190">
        <f t="shared" si="1"/>
        <v>16942477.170000002</v>
      </c>
      <c r="H41" s="191">
        <f t="shared" si="9"/>
        <v>17042121.620000001</v>
      </c>
      <c r="I41" s="192">
        <f t="shared" si="5"/>
        <v>0</v>
      </c>
      <c r="J41" s="192">
        <f t="shared" si="6"/>
        <v>99644.45</v>
      </c>
      <c r="K41" s="192">
        <f t="shared" si="2"/>
        <v>4235619.33</v>
      </c>
      <c r="L41" s="193">
        <f t="shared" si="7"/>
        <v>4335263.78</v>
      </c>
      <c r="M41" s="193">
        <f t="shared" si="3"/>
        <v>11800149.9</v>
      </c>
      <c r="N41" s="199">
        <v>15733533.197739594</v>
      </c>
    </row>
    <row r="42" spans="2:14" x14ac:dyDescent="0.35">
      <c r="B42" s="253">
        <v>45870</v>
      </c>
      <c r="C42" s="247">
        <v>-0.11</v>
      </c>
      <c r="D42" s="247">
        <f t="shared" si="8"/>
        <v>164.22146100000001</v>
      </c>
      <c r="F42" s="186">
        <v>46174</v>
      </c>
      <c r="G42" s="190">
        <f t="shared" si="1"/>
        <v>12706857.84</v>
      </c>
      <c r="H42" s="191">
        <f t="shared" si="9"/>
        <v>12781591.18</v>
      </c>
      <c r="I42" s="192">
        <f t="shared" si="5"/>
        <v>0</v>
      </c>
      <c r="J42" s="192">
        <f t="shared" si="6"/>
        <v>74733.34</v>
      </c>
      <c r="K42" s="192">
        <f t="shared" si="2"/>
        <v>4235619.33</v>
      </c>
      <c r="L42" s="193">
        <f t="shared" si="7"/>
        <v>4310352.67</v>
      </c>
      <c r="M42" s="193">
        <f t="shared" si="3"/>
        <v>11800149.9</v>
      </c>
      <c r="N42" s="199">
        <v>15733533.197739594</v>
      </c>
    </row>
    <row r="43" spans="2:14" x14ac:dyDescent="0.35">
      <c r="B43" s="179">
        <v>45901</v>
      </c>
      <c r="C43" s="247">
        <v>0.48</v>
      </c>
      <c r="D43" s="247">
        <f t="shared" si="8"/>
        <v>165.00972400000001</v>
      </c>
      <c r="F43" s="186">
        <v>46204</v>
      </c>
      <c r="G43" s="190">
        <f t="shared" si="1"/>
        <v>8471238.5099999998</v>
      </c>
      <c r="H43" s="191">
        <f t="shared" si="9"/>
        <v>8521060.7300000004</v>
      </c>
      <c r="I43" s="192">
        <f t="shared" si="5"/>
        <v>0</v>
      </c>
      <c r="J43" s="192">
        <f t="shared" si="6"/>
        <v>49822.22</v>
      </c>
      <c r="K43" s="192">
        <f t="shared" si="2"/>
        <v>4235619.33</v>
      </c>
      <c r="L43" s="193">
        <f t="shared" si="7"/>
        <v>4285441.55</v>
      </c>
      <c r="M43" s="193">
        <f t="shared" si="3"/>
        <v>11800149.9</v>
      </c>
      <c r="N43" s="199">
        <v>15733533.197739594</v>
      </c>
    </row>
    <row r="44" spans="2:14" x14ac:dyDescent="0.35">
      <c r="B44" s="179">
        <v>45931</v>
      </c>
      <c r="C44" s="247">
        <v>0.09</v>
      </c>
      <c r="D44" s="247">
        <f t="shared" si="8"/>
        <v>165.158233</v>
      </c>
      <c r="F44" s="186">
        <v>46235</v>
      </c>
      <c r="G44" s="190">
        <f>ROUND(H43-L43+I43,2)</f>
        <v>4235619.18</v>
      </c>
      <c r="H44" s="191">
        <f t="shared" si="9"/>
        <v>4260530.29</v>
      </c>
      <c r="I44" s="192">
        <f t="shared" si="5"/>
        <v>0</v>
      </c>
      <c r="J44" s="192">
        <f>ROUND(H44-G44,2)</f>
        <v>24911.11</v>
      </c>
      <c r="K44" s="192">
        <f t="shared" si="2"/>
        <v>4235619.33</v>
      </c>
      <c r="L44" s="193">
        <f t="shared" si="7"/>
        <v>4260530.4400000004</v>
      </c>
      <c r="M44" s="193">
        <f t="shared" si="3"/>
        <v>11800149.9</v>
      </c>
      <c r="N44" s="199">
        <v>15733533.197739594</v>
      </c>
    </row>
    <row r="45" spans="2:14" x14ac:dyDescent="0.35">
      <c r="B45" s="179">
        <v>45962</v>
      </c>
      <c r="C45" s="247">
        <v>0.18</v>
      </c>
      <c r="D45" s="247">
        <f t="shared" si="8"/>
        <v>165.45551800000001</v>
      </c>
      <c r="F45" s="201">
        <v>46266</v>
      </c>
      <c r="G45" s="202">
        <f>IF(ROUND(H44-L44+I44,2)&lt;1,0)</f>
        <v>0</v>
      </c>
      <c r="H45" s="203">
        <f t="shared" si="4"/>
        <v>0</v>
      </c>
      <c r="I45" s="204">
        <f t="shared" si="5"/>
        <v>0</v>
      </c>
      <c r="J45" s="204">
        <f t="shared" si="6"/>
        <v>0</v>
      </c>
      <c r="K45" s="204">
        <f t="shared" si="2"/>
        <v>4235619.33</v>
      </c>
      <c r="L45" s="205">
        <f t="shared" si="7"/>
        <v>4235619.33</v>
      </c>
      <c r="M45" s="205">
        <f t="shared" si="3"/>
        <v>11800149.9</v>
      </c>
      <c r="N45" s="199">
        <v>15733533.197739594</v>
      </c>
    </row>
    <row r="46" spans="2:14" x14ac:dyDescent="0.35">
      <c r="B46" s="179">
        <v>45992</v>
      </c>
      <c r="C46" s="247">
        <v>0.33</v>
      </c>
      <c r="D46" s="247">
        <f t="shared" si="8"/>
        <v>166.001521</v>
      </c>
      <c r="F46" s="206"/>
      <c r="G46" s="191"/>
      <c r="H46" s="191"/>
      <c r="I46" s="192"/>
      <c r="J46" s="192"/>
      <c r="K46" s="207"/>
      <c r="L46" s="191"/>
      <c r="M46" s="208"/>
      <c r="N46" s="209"/>
    </row>
    <row r="47" spans="2:14" x14ac:dyDescent="0.35">
      <c r="B47" s="179">
        <v>46023</v>
      </c>
      <c r="C47" s="247">
        <v>0.33</v>
      </c>
      <c r="D47" s="247">
        <f t="shared" si="8"/>
        <v>166.54932600000001</v>
      </c>
      <c r="F47" s="206"/>
      <c r="G47" s="191"/>
      <c r="H47" s="191"/>
      <c r="I47" s="192"/>
      <c r="J47" s="192"/>
      <c r="K47" s="192"/>
      <c r="L47" s="191"/>
      <c r="M47" s="208"/>
      <c r="N47" s="209"/>
    </row>
    <row r="48" spans="2:14" x14ac:dyDescent="0.35">
      <c r="B48" s="179">
        <v>46054</v>
      </c>
      <c r="C48" s="247">
        <v>0.7</v>
      </c>
      <c r="D48" s="247">
        <f t="shared" si="8"/>
        <v>167.715171</v>
      </c>
      <c r="F48" s="198" t="s">
        <v>236</v>
      </c>
    </row>
    <row r="49" spans="2:10" x14ac:dyDescent="0.35">
      <c r="B49" s="179">
        <v>46082</v>
      </c>
      <c r="C49" s="196">
        <v>0.58813388458481664</v>
      </c>
      <c r="D49" s="197">
        <f t="shared" si="8"/>
        <v>168.701561</v>
      </c>
      <c r="F49" s="198"/>
    </row>
    <row r="50" spans="2:10" x14ac:dyDescent="0.35">
      <c r="B50" s="179">
        <v>46113</v>
      </c>
      <c r="C50" s="196">
        <v>0.58813388458481664</v>
      </c>
      <c r="D50" s="197">
        <f t="shared" si="8"/>
        <v>169.69375199999999</v>
      </c>
    </row>
    <row r="51" spans="2:10" x14ac:dyDescent="0.35">
      <c r="B51" s="179">
        <v>46143</v>
      </c>
      <c r="C51" s="196">
        <v>0.58813388458481664</v>
      </c>
      <c r="D51" s="197">
        <f t="shared" si="8"/>
        <v>170.691778</v>
      </c>
    </row>
    <row r="52" spans="2:10" x14ac:dyDescent="0.35">
      <c r="B52" s="179">
        <v>46174</v>
      </c>
      <c r="C52" s="196">
        <v>0.58813388458481664</v>
      </c>
      <c r="D52" s="197">
        <f t="shared" si="8"/>
        <v>171.695674</v>
      </c>
    </row>
    <row r="53" spans="2:10" x14ac:dyDescent="0.35">
      <c r="B53" s="179">
        <v>46204</v>
      </c>
      <c r="C53" s="196">
        <v>0.58813388458481664</v>
      </c>
      <c r="D53" s="197">
        <f t="shared" si="8"/>
        <v>172.70547400000001</v>
      </c>
    </row>
    <row r="54" spans="2:10" x14ac:dyDescent="0.35">
      <c r="B54" s="179">
        <v>46235</v>
      </c>
      <c r="C54" s="196">
        <v>0.58813388458481664</v>
      </c>
      <c r="D54" s="197">
        <f t="shared" si="8"/>
        <v>173.72121300000001</v>
      </c>
    </row>
    <row r="55" spans="2:10" x14ac:dyDescent="0.35">
      <c r="B55" s="179">
        <v>46266</v>
      </c>
      <c r="C55" s="196">
        <v>0.58813388458481664</v>
      </c>
      <c r="D55" s="197">
        <f t="shared" si="8"/>
        <v>174.74292600000001</v>
      </c>
    </row>
    <row r="56" spans="2:10" x14ac:dyDescent="0.35">
      <c r="B56" s="198" t="s">
        <v>237</v>
      </c>
    </row>
    <row r="58" spans="2:10" x14ac:dyDescent="0.35">
      <c r="J58" s="68"/>
    </row>
    <row r="59" spans="2:10" x14ac:dyDescent="0.35">
      <c r="J59" s="68"/>
    </row>
    <row r="60" spans="2:10" x14ac:dyDescent="0.35">
      <c r="J60" s="68"/>
    </row>
    <row r="63" spans="2:10" x14ac:dyDescent="0.35">
      <c r="J63" s="65"/>
    </row>
    <row r="69" spans="3:3" x14ac:dyDescent="0.35">
      <c r="C69" s="210"/>
    </row>
  </sheetData>
  <mergeCells count="5">
    <mergeCell ref="A2:N4"/>
    <mergeCell ref="G6:N6"/>
    <mergeCell ref="G7:N7"/>
    <mergeCell ref="B8:C8"/>
    <mergeCell ref="B18:C18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H21" formula="1"/>
  </ignoredError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15"/>
  <dimension ref="B1:L19"/>
  <sheetViews>
    <sheetView showGridLines="0" workbookViewId="0">
      <selection activeCell="B8" sqref="B8"/>
    </sheetView>
  </sheetViews>
  <sheetFormatPr defaultRowHeight="14.5" x14ac:dyDescent="0.35"/>
  <cols>
    <col min="1" max="1" width="3.81640625" customWidth="1"/>
    <col min="2" max="2" width="13.1796875" customWidth="1"/>
    <col min="7" max="8" width="9.26953125" style="30" customWidth="1"/>
    <col min="9" max="11" width="13" customWidth="1"/>
    <col min="12" max="12" width="14.26953125" bestFit="1" customWidth="1"/>
  </cols>
  <sheetData>
    <row r="1" spans="2:12" x14ac:dyDescent="0.35">
      <c r="B1" s="358" t="s">
        <v>103</v>
      </c>
      <c r="C1" s="359"/>
      <c r="D1" s="359"/>
      <c r="E1" s="359"/>
      <c r="F1" s="359"/>
      <c r="G1" s="359"/>
      <c r="H1" s="359"/>
      <c r="I1" s="359"/>
      <c r="J1" s="359"/>
      <c r="K1" s="359"/>
      <c r="L1" s="359"/>
    </row>
    <row r="2" spans="2:12" x14ac:dyDescent="0.35"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</row>
    <row r="3" spans="2:12" x14ac:dyDescent="0.35"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</row>
    <row r="4" spans="2:12" ht="15" thickBot="1" x14ac:dyDescent="0.4"/>
    <row r="5" spans="2:12" ht="43.5" x14ac:dyDescent="0.35">
      <c r="B5" s="46" t="s">
        <v>108</v>
      </c>
      <c r="C5" s="49" t="s">
        <v>104</v>
      </c>
      <c r="D5" s="49" t="s">
        <v>105</v>
      </c>
      <c r="E5" s="49" t="s">
        <v>106</v>
      </c>
      <c r="F5" s="49" t="s">
        <v>107</v>
      </c>
      <c r="G5" s="49" t="s">
        <v>111</v>
      </c>
      <c r="H5" s="49" t="s">
        <v>112</v>
      </c>
      <c r="I5" s="46" t="s">
        <v>109</v>
      </c>
      <c r="J5" s="46" t="s">
        <v>110</v>
      </c>
      <c r="K5" s="45" t="s">
        <v>6</v>
      </c>
      <c r="L5" s="13" t="s">
        <v>11</v>
      </c>
    </row>
    <row r="6" spans="2:12" x14ac:dyDescent="0.35">
      <c r="B6" s="16">
        <v>43161</v>
      </c>
      <c r="C6" s="32" t="s">
        <v>122</v>
      </c>
      <c r="D6" s="32" t="s">
        <v>122</v>
      </c>
      <c r="E6" s="14" t="e">
        <f>IF(VLOOKUP($B6-1,'NF Diesel'!$T$5:$Z$18,7,0)="SIM",VLOOKUP($B6,'NF Diesel'!$B$5:$H$41,6,0)/VLOOKUP($B6,'NF Diesel'!$B$5:$H$41,3,0),IF(VLOOKUP($B6-1,'NF Diesel'!$T$5:$Z$18,4,0)&gt;VLOOKUP($B6-1,'NF Diesel'!$T$5:$Z$18,3,0),VLOOKUP($B6,'NF Diesel'!$B$5:$H$41,6,0)/VLOOKUP($B6,'NF Diesel'!$B$5:$H$41,3,0),IF(VLOOKUP($B6-1,'NF Diesel'!$T$5:$Z$18,4,0)&gt;VLOOKUP($B5-1,'NF Diesel'!$T$5:$Z$18,3,0),VLOOKUP($B5,'NF Diesel'!$B$5:$H$41,6,0)/VLOOKUP($B5,'NF Diesel'!$B$5:$H$41,3,0),Tributos!E5)))</f>
        <v>#N/A</v>
      </c>
      <c r="F6" s="32" t="s">
        <v>122</v>
      </c>
      <c r="G6" s="32" t="s">
        <v>122</v>
      </c>
      <c r="H6" s="32" t="s">
        <v>122</v>
      </c>
      <c r="I6" s="32" t="s">
        <v>122</v>
      </c>
      <c r="J6" s="32" t="s">
        <v>122</v>
      </c>
      <c r="K6" s="32" t="s">
        <v>122</v>
      </c>
      <c r="L6" s="15"/>
    </row>
    <row r="7" spans="2:12" x14ac:dyDescent="0.35">
      <c r="B7" s="16">
        <v>43587</v>
      </c>
      <c r="C7" s="14" t="e">
        <f>IF(VLOOKUP($B7-1,'NF Diesel'!$T$5:$Z$18,7,0)="SIM",VLOOKUP($B7,'NF Diesel'!$B$5:$H$41,7,0)/VLOOKUP($B7,'NF Diesel'!$B$5:$H$41,3,0),IF(VLOOKUP($B7-1,'NF Diesel'!$T$5:$Z$18,4,0)&gt;VLOOKUP($B7-1,'NF Diesel'!$T$5:$Z$18,3,0),VLOOKUP($B7,'NF Diesel'!$B$5:$H$41,7,0)/VLOOKUP($B7,'NF Diesel'!$B$5:$H$41,3,0),IF(VLOOKUP($B7-1,'NF Diesel'!$T$5:$Z$18,4,0)&gt;VLOOKUP($B6-1,'NF Diesel'!$T$5:$Z$18,3,0),VLOOKUP($B6,'NF Diesel'!$B$5:$H$41,7,0)/VLOOKUP($B6,'NF Diesel'!$B$5:$H$41,3,0),Tributos!C6)))</f>
        <v>#N/A</v>
      </c>
      <c r="D7" s="14" t="e">
        <f>IF(VLOOKUP($B7-1,'NF Óleo Comb'!$J$5:$P$5,7,0)="SIM",VLOOKUP($B7,'NF Óleo Comb'!$B$5:$H$51,6,0)/VLOOKUP($B7,'NF Óleo Comb'!$B$5:$H$51,3,0),IF(VLOOKUP($B7-1,'NF Óleo Comb'!$J$5:$P$5,4,0)&gt;VLOOKUP($B7-1,'NF Óleo Comb'!$J$5:$P$5,3,0),VLOOKUP($B7,'NF Óleo Comb'!$B$5:$H$51,6,0)/VLOOKUP($B7,'NF Óleo Comb'!$B$5:$H$51,3,0),IF(VLOOKUP($B7-1,'NF Óleo Comb'!$J$5:$P$5,4,0)&gt;VLOOKUP($B6-1,'NF Óleo Comb'!$J$5:$P$5,3,0),VLOOKUP($B6,'NF Óleo Comb'!$B$5:$H$51,6,0)/VLOOKUP($B6,'NF Óleo Comb'!$B$5:$H$51,3,0),Tributos!D6)))</f>
        <v>#N/A</v>
      </c>
      <c r="E7" s="14" t="e">
        <f>IF(VLOOKUP($B7-1,'NF Diesel'!$T$5:$Z$18,7,0)="SIM",VLOOKUP($B7,'NF Diesel'!$B$5:$H$41,6,0)/VLOOKUP($B7,'NF Diesel'!$B$5:$H$41,3,0),IF(VLOOKUP($B7-1,'NF Diesel'!$T$5:$Z$18,4,0)&gt;VLOOKUP($B7-1,'NF Diesel'!$T$5:$Z$18,3,0),VLOOKUP($B7,'NF Diesel'!$B$5:$H$41,6,0)/VLOOKUP($B7,'NF Diesel'!$B$5:$H$41,3,0),IF(VLOOKUP($B7-1,'NF Diesel'!$T$5:$Z$18,4,0)&gt;VLOOKUP($B6-1,'NF Diesel'!$T$5:$Z$18,3,0),VLOOKUP($B6,'NF Diesel'!$B$5:$H$41,6,0)/VLOOKUP($B6,'NF Diesel'!$B$5:$H$41,3,0),Tributos!E6)))</f>
        <v>#N/A</v>
      </c>
      <c r="F7" s="14" t="e">
        <f>IF(VLOOKUP($B7-1,'NF Óleo Comb'!$J$5:$P$5,7,0)="SIM",VLOOKUP($B7,'NF Óleo Comb'!$B$5:$H$51,5,0)/VLOOKUP($B7,'NF Óleo Comb'!$B$5:$H$51,3,0),IF(VLOOKUP($B7-1,'NF Óleo Comb'!$J$5:$P$5,4,0)&gt;VLOOKUP($B7-1,'NF Óleo Comb'!$J$5:$P$5,3,0),VLOOKUP($B7,'NF Óleo Comb'!$B$5:$H$51,5,0)/VLOOKUP($B7,'NF Óleo Comb'!$B$5:$H$51,3,0),IF(VLOOKUP($B7-1,'NF Óleo Comb'!$J$5:$P$5,4,0)&gt;VLOOKUP($B6-1,'NF Óleo Comb'!$J$5:$P$5,3,0),VLOOKUP($B6,'NF Óleo Comb'!$B$5:$H$51,5,0)/VLOOKUP($B6,'NF Óleo Comb'!$B$5:$H$51,3,0),Tributos!F6)))</f>
        <v>#N/A</v>
      </c>
      <c r="G7" s="32" t="s">
        <v>122</v>
      </c>
      <c r="H7" s="32" t="s">
        <v>122</v>
      </c>
      <c r="I7" s="32" t="s">
        <v>122</v>
      </c>
      <c r="J7" s="32" t="s">
        <v>122</v>
      </c>
      <c r="K7" s="32" t="s">
        <v>122</v>
      </c>
      <c r="L7" s="15"/>
    </row>
    <row r="8" spans="2:12" x14ac:dyDescent="0.35">
      <c r="B8" s="16">
        <v>44198</v>
      </c>
      <c r="C8" s="14" t="e">
        <f>IF(VLOOKUP($B8-1,'NF Diesel'!$T$5:$Z$18,7,0)="SIM",VLOOKUP($B8,'NF Diesel'!$B$5:$H$41,7,0)/VLOOKUP($B8,'NF Diesel'!$B$5:$H$41,3,0),IF(VLOOKUP($B8-1,'NF Diesel'!$T$5:$Z$18,4,0)&gt;VLOOKUP($B8-1,'NF Diesel'!$T$5:$Z$18,3,0),VLOOKUP($B8,'NF Diesel'!$B$5:$H$41,7,0)/VLOOKUP($B8,'NF Diesel'!$B$5:$H$41,3,0),IF(VLOOKUP($B8-1,'NF Diesel'!$T$5:$Z$18,4,0)&gt;VLOOKUP($B7-1,'NF Diesel'!$T$5:$Z$18,3,0),VLOOKUP($B7,'NF Diesel'!$B$5:$H$41,7,0)/VLOOKUP($B7,'NF Diesel'!$B$5:$H$41,3,0),Tributos!C7)))</f>
        <v>#N/A</v>
      </c>
      <c r="D8" s="14" t="e">
        <f>IF(VLOOKUP($B8-1,'NF Óleo Comb'!$J$5:$P$5,7,0)="SIM",VLOOKUP($B8,'NF Óleo Comb'!$B$5:$H$51,6,0)/VLOOKUP($B8,'NF Óleo Comb'!$B$5:$H$51,3,0),IF(VLOOKUP($B8-1,'NF Óleo Comb'!$J$5:$P$5,4,0)&gt;VLOOKUP($B8-1,'NF Óleo Comb'!$J$5:$P$5,3,0),VLOOKUP($B8,'NF Óleo Comb'!$B$5:$H$51,6,0)/VLOOKUP($B8,'NF Óleo Comb'!$B$5:$H$51,3,0),IF(VLOOKUP($B8-1,'NF Óleo Comb'!$J$5:$P$5,4,0)&gt;VLOOKUP($B7-1,'NF Óleo Comb'!$J$5:$P$5,3,0),VLOOKUP($B7,'NF Óleo Comb'!$B$5:$H$51,6,0)/VLOOKUP($B7,'NF Óleo Comb'!$B$5:$H$51,3,0),Tributos!D7)))</f>
        <v>#N/A</v>
      </c>
      <c r="E8" s="14" t="e">
        <f>IF(VLOOKUP($B8-1,'NF Diesel'!$T$5:$Z$18,7,0)="SIM",VLOOKUP($B8,'NF Diesel'!$B$5:$H$41,6,0)/VLOOKUP($B8,'NF Diesel'!$B$5:$H$41,3,0),IF(VLOOKUP($B8-1,'NF Diesel'!$T$5:$Z$18,4,0)&gt;VLOOKUP($B8-1,'NF Diesel'!$T$5:$Z$18,3,0),VLOOKUP($B8,'NF Diesel'!$B$5:$H$41,6,0)/VLOOKUP($B8,'NF Diesel'!$B$5:$H$41,3,0),IF(VLOOKUP($B8-1,'NF Diesel'!$T$5:$Z$18,4,0)&gt;VLOOKUP($B7-1,'NF Diesel'!$T$5:$Z$18,3,0),VLOOKUP($B7,'NF Diesel'!$B$5:$H$41,6,0)/VLOOKUP($B7,'NF Diesel'!$B$5:$H$41,3,0),Tributos!E7)))</f>
        <v>#N/A</v>
      </c>
      <c r="F8" s="14" t="e">
        <f>IF(VLOOKUP($B8-1,'NF Óleo Comb'!$J$5:$P$5,7,0)="SIM",VLOOKUP($B8,'NF Óleo Comb'!$B$5:$H$51,5,0)/VLOOKUP($B8,'NF Óleo Comb'!$B$5:$H$51,3,0),IF(VLOOKUP($B8-1,'NF Óleo Comb'!$J$5:$P$5,4,0)&gt;VLOOKUP($B8-1,'NF Óleo Comb'!$J$5:$P$5,3,0),VLOOKUP($B8,'NF Óleo Comb'!$B$5:$H$51,5,0)/VLOOKUP($B8,'NF Óleo Comb'!$B$5:$H$51,3,0),IF(VLOOKUP($B8-1,'NF Óleo Comb'!$J$5:$P$5,4,0)&gt;VLOOKUP($B7-1,'NF Óleo Comb'!$J$5:$P$5,3,0),VLOOKUP($B7,'NF Óleo Comb'!$B$5:$H$51,5,0)/VLOOKUP($B7,'NF Óleo Comb'!$B$5:$H$51,3,0),Tributos!F7)))</f>
        <v>#N/A</v>
      </c>
      <c r="G8" s="32" t="e">
        <f>VLOOKUP(EOMONTH($B8,0),SCD!$B$6:$H$65,4,0)*1000</f>
        <v>#N/A</v>
      </c>
      <c r="H8" s="32" t="e">
        <f>VLOOKUP(EOMONTH($B8,0),SCD!$B$6:$H$65,5,0)*1000</f>
        <v>#N/A</v>
      </c>
      <c r="I8" s="19">
        <v>1</v>
      </c>
      <c r="J8" s="19">
        <v>0</v>
      </c>
      <c r="K8" s="19">
        <f>Parâmetros!$D$6</f>
        <v>1</v>
      </c>
      <c r="L8" s="15" t="e">
        <f t="shared" ref="L8:L13" si="0">(C8*G8*(1-J8)+D8*H8*(1-J8)+E8*G8*(1-I8)+F8*H8*(1-I8))*K8</f>
        <v>#N/A</v>
      </c>
    </row>
    <row r="9" spans="2:12" x14ac:dyDescent="0.35">
      <c r="B9" s="16">
        <v>44229</v>
      </c>
      <c r="C9" s="14" t="e">
        <f>IF(VLOOKUP($B9-1,'NF Diesel'!$T$5:$Z$18,7,0)="SIM",VLOOKUP($B9,'NF Diesel'!$B$5:$H$41,7,0)/VLOOKUP($B9,'NF Diesel'!$B$5:$H$41,3,0),IF(VLOOKUP($B9-1,'NF Diesel'!$T$5:$Z$18,4,0)&gt;VLOOKUP($B9-1,'NF Diesel'!$T$5:$Z$18,3,0),VLOOKUP($B9,'NF Diesel'!$B$5:$H$41,7,0)/VLOOKUP($B9,'NF Diesel'!$B$5:$H$41,3,0),IF(VLOOKUP($B9-1,'NF Diesel'!$T$5:$Z$18,4,0)&gt;VLOOKUP($B8-1,'NF Diesel'!$T$5:$Z$18,3,0),VLOOKUP($B8,'NF Diesel'!$B$5:$H$41,7,0)/VLOOKUP($B8,'NF Diesel'!$B$5:$H$41,3,0),Tributos!C8)))</f>
        <v>#N/A</v>
      </c>
      <c r="D9" s="14" t="e">
        <f>IF(VLOOKUP($B9-1,'NF Óleo Comb'!$J$5:$P$5,7,0)="SIM",VLOOKUP($B9,'NF Óleo Comb'!$B$5:$H$51,6,0)/VLOOKUP($B9,'NF Óleo Comb'!$B$5:$H$51,3,0),IF(VLOOKUP($B9-1,'NF Óleo Comb'!$J$5:$P$5,4,0)&gt;VLOOKUP($B9-1,'NF Óleo Comb'!$J$5:$P$5,3,0),VLOOKUP($B9,'NF Óleo Comb'!$B$5:$H$51,6,0)/VLOOKUP($B9,'NF Óleo Comb'!$B$5:$H$51,3,0),IF(VLOOKUP($B9-1,'NF Óleo Comb'!$J$5:$P$5,4,0)&gt;VLOOKUP($B8-1,'NF Óleo Comb'!$J$5:$P$5,3,0),VLOOKUP($B8,'NF Óleo Comb'!$B$5:$H$51,6,0)/VLOOKUP($B8,'NF Óleo Comb'!$B$5:$H$51,3,0),Tributos!D8)))</f>
        <v>#N/A</v>
      </c>
      <c r="E9" s="14" t="e">
        <f>IF(VLOOKUP($B9-1,'NF Diesel'!$T$5:$Z$18,7,0)="SIM",VLOOKUP($B9,'NF Diesel'!$B$5:$H$41,6,0)/VLOOKUP($B9,'NF Diesel'!$B$5:$H$41,3,0),IF(VLOOKUP($B9-1,'NF Diesel'!$T$5:$Z$18,4,0)&gt;VLOOKUP($B9-1,'NF Diesel'!$T$5:$Z$18,3,0),VLOOKUP($B9,'NF Diesel'!$B$5:$H$41,6,0)/VLOOKUP($B9,'NF Diesel'!$B$5:$H$41,3,0),IF(VLOOKUP($B9-1,'NF Diesel'!$T$5:$Z$18,4,0)&gt;VLOOKUP($B8-1,'NF Diesel'!$T$5:$Z$18,3,0),VLOOKUP($B8,'NF Diesel'!$B$5:$H$41,6,0)/VLOOKUP($B8,'NF Diesel'!$B$5:$H$41,3,0),Tributos!E8)))</f>
        <v>#N/A</v>
      </c>
      <c r="F9" s="14" t="e">
        <f>IF(VLOOKUP($B9-1,'NF Óleo Comb'!$J$5:$P$5,7,0)="SIM",VLOOKUP($B9,'NF Óleo Comb'!$B$5:$H$51,5,0)/VLOOKUP($B9,'NF Óleo Comb'!$B$5:$H$51,3,0),IF(VLOOKUP($B9-1,'NF Óleo Comb'!$J$5:$P$5,4,0)&gt;VLOOKUP($B9-1,'NF Óleo Comb'!$J$5:$P$5,3,0),VLOOKUP($B9,'NF Óleo Comb'!$B$5:$H$51,5,0)/VLOOKUP($B9,'NF Óleo Comb'!$B$5:$H$51,3,0),IF(VLOOKUP($B9-1,'NF Óleo Comb'!$J$5:$P$5,4,0)&gt;VLOOKUP($B8-1,'NF Óleo Comb'!$J$5:$P$5,3,0),VLOOKUP($B8,'NF Óleo Comb'!$B$5:$H$51,5,0)/VLOOKUP($B8,'NF Óleo Comb'!$B$5:$H$51,3,0),Tributos!F8)))</f>
        <v>#N/A</v>
      </c>
      <c r="G9" s="32" t="e">
        <f>VLOOKUP(EOMONTH($B9,0),SCD!$B$6:$H$65,4,0)*1000</f>
        <v>#N/A</v>
      </c>
      <c r="H9" s="32" t="e">
        <f>VLOOKUP(EOMONTH($B9,0),SCD!$B$6:$H$65,5,0)*1000</f>
        <v>#N/A</v>
      </c>
      <c r="I9" s="19">
        <v>1</v>
      </c>
      <c r="J9" s="19">
        <v>0</v>
      </c>
      <c r="K9" s="19">
        <f>Parâmetros!$D$6</f>
        <v>1</v>
      </c>
      <c r="L9" s="15" t="e">
        <f t="shared" si="0"/>
        <v>#N/A</v>
      </c>
    </row>
    <row r="10" spans="2:12" x14ac:dyDescent="0.35">
      <c r="B10" s="16">
        <v>44257</v>
      </c>
      <c r="C10" s="14" t="e">
        <f>IF(VLOOKUP($B10-1,'NF Diesel'!$T$5:$Z$18,7,0)="SIM",VLOOKUP($B10,'NF Diesel'!$B$5:$H$41,7,0)/VLOOKUP($B10,'NF Diesel'!$B$5:$H$41,3,0),IF(VLOOKUP($B10-1,'NF Diesel'!$T$5:$Z$18,4,0)&gt;VLOOKUP($B10-1,'NF Diesel'!$T$5:$Z$18,3,0),VLOOKUP($B10,'NF Diesel'!$B$5:$H$41,7,0)/VLOOKUP($B10,'NF Diesel'!$B$5:$H$41,3,0),IF(VLOOKUP($B10-1,'NF Diesel'!$T$5:$Z$18,4,0)&gt;VLOOKUP($B9-1,'NF Diesel'!$T$5:$Z$18,3,0),VLOOKUP($B9,'NF Diesel'!$B$5:$H$41,7,0)/VLOOKUP($B9,'NF Diesel'!$B$5:$H$41,3,0),Tributos!C9)))</f>
        <v>#N/A</v>
      </c>
      <c r="D10" s="14" t="e">
        <f>IF(VLOOKUP($B10-1,'NF Óleo Comb'!$J$5:$P$5,7,0)="SIM",VLOOKUP($B10,'NF Óleo Comb'!$B$5:$H$51,6,0)/VLOOKUP($B10,'NF Óleo Comb'!$B$5:$H$51,3,0),IF(VLOOKUP($B10-1,'NF Óleo Comb'!$J$5:$P$5,4,0)&gt;VLOOKUP($B10-1,'NF Óleo Comb'!$J$5:$P$5,3,0),VLOOKUP($B10,'NF Óleo Comb'!$B$5:$H$51,6,0)/VLOOKUP($B10,'NF Óleo Comb'!$B$5:$H$51,3,0),IF(VLOOKUP($B10-1,'NF Óleo Comb'!$J$5:$P$5,4,0)&gt;VLOOKUP($B9-1,'NF Óleo Comb'!$J$5:$P$5,3,0),VLOOKUP($B9,'NF Óleo Comb'!$B$5:$H$51,6,0)/VLOOKUP($B9,'NF Óleo Comb'!$B$5:$H$51,3,0),Tributos!D9)))</f>
        <v>#N/A</v>
      </c>
      <c r="E10" s="14" t="e">
        <f>IF(VLOOKUP($B10-1,'NF Diesel'!$T$5:$Z$18,7,0)="SIM",VLOOKUP($B10,'NF Diesel'!$B$5:$H$41,6,0)/VLOOKUP($B10,'NF Diesel'!$B$5:$H$41,3,0),IF(VLOOKUP($B10-1,'NF Diesel'!$T$5:$Z$18,4,0)&gt;VLOOKUP($B10-1,'NF Diesel'!$T$5:$Z$18,3,0),VLOOKUP($B10,'NF Diesel'!$B$5:$H$41,6,0)/VLOOKUP($B10,'NF Diesel'!$B$5:$H$41,3,0),IF(VLOOKUP($B10-1,'NF Diesel'!$T$5:$Z$18,4,0)&gt;VLOOKUP($B9-1,'NF Diesel'!$T$5:$Z$18,3,0),VLOOKUP($B9,'NF Diesel'!$B$5:$H$41,6,0)/VLOOKUP($B9,'NF Diesel'!$B$5:$H$41,3,0),Tributos!E9)))</f>
        <v>#N/A</v>
      </c>
      <c r="F10" s="14" t="e">
        <f>IF(VLOOKUP($B10-1,'NF Óleo Comb'!$J$5:$P$5,7,0)="SIM",VLOOKUP($B10,'NF Óleo Comb'!$B$5:$H$51,5,0)/VLOOKUP($B10,'NF Óleo Comb'!$B$5:$H$51,3,0),IF(VLOOKUP($B10-1,'NF Óleo Comb'!$J$5:$P$5,4,0)&gt;VLOOKUP($B10-1,'NF Óleo Comb'!$J$5:$P$5,3,0),VLOOKUP($B10,'NF Óleo Comb'!$B$5:$H$51,5,0)/VLOOKUP($B10,'NF Óleo Comb'!$B$5:$H$51,3,0),IF(VLOOKUP($B10-1,'NF Óleo Comb'!$J$5:$P$5,4,0)&gt;VLOOKUP($B9-1,'NF Óleo Comb'!$J$5:$P$5,3,0),VLOOKUP($B9,'NF Óleo Comb'!$B$5:$H$51,5,0)/VLOOKUP($B9,'NF Óleo Comb'!$B$5:$H$51,3,0),Tributos!F9)))</f>
        <v>#N/A</v>
      </c>
      <c r="G10" s="32" t="e">
        <f>VLOOKUP(EOMONTH($B10,0),SCD!$B$6:$H$65,4,0)*1000</f>
        <v>#N/A</v>
      </c>
      <c r="H10" s="32" t="e">
        <f>VLOOKUP(EOMONTH($B10,0),SCD!$B$6:$H$65,5,0)*1000</f>
        <v>#N/A</v>
      </c>
      <c r="I10" s="19">
        <v>1</v>
      </c>
      <c r="J10" s="19">
        <v>0</v>
      </c>
      <c r="K10" s="19">
        <f>Parâmetros!$D$6</f>
        <v>1</v>
      </c>
      <c r="L10" s="15" t="e">
        <f t="shared" si="0"/>
        <v>#N/A</v>
      </c>
    </row>
    <row r="11" spans="2:12" x14ac:dyDescent="0.35">
      <c r="B11" s="16">
        <v>44288</v>
      </c>
      <c r="C11" s="14" t="e">
        <f>IF(VLOOKUP($B11-1,'NF Diesel'!$T$5:$Z$18,7,0)="SIM",VLOOKUP($B11,'NF Diesel'!$B$5:$H$41,7,0)/VLOOKUP($B11,'NF Diesel'!$B$5:$H$41,3,0),IF(VLOOKUP($B11-1,'NF Diesel'!$T$5:$Z$18,4,0)&gt;VLOOKUP($B11-1,'NF Diesel'!$T$5:$Z$18,3,0),VLOOKUP($B11,'NF Diesel'!$B$5:$H$41,7,0)/VLOOKUP($B11,'NF Diesel'!$B$5:$H$41,3,0),IF(VLOOKUP($B11-1,'NF Diesel'!$T$5:$Z$18,4,0)&gt;VLOOKUP($B10-1,'NF Diesel'!$T$5:$Z$18,3,0),VLOOKUP($B10,'NF Diesel'!$B$5:$H$41,7,0)/VLOOKUP($B10,'NF Diesel'!$B$5:$H$41,3,0),Tributos!C10)))</f>
        <v>#N/A</v>
      </c>
      <c r="D11" s="14" t="e">
        <f>IF(VLOOKUP($B11-1,'NF Óleo Comb'!$J$5:$P$5,7,0)="SIM",VLOOKUP($B11,'NF Óleo Comb'!$B$5:$H$51,6,0)/VLOOKUP($B11,'NF Óleo Comb'!$B$5:$H$51,3,0),IF(VLOOKUP($B11-1,'NF Óleo Comb'!$J$5:$P$5,4,0)&gt;VLOOKUP($B11-1,'NF Óleo Comb'!$J$5:$P$5,3,0),VLOOKUP($B11,'NF Óleo Comb'!$B$5:$H$51,6,0)/VLOOKUP($B11,'NF Óleo Comb'!$B$5:$H$51,3,0),IF(VLOOKUP($B11-1,'NF Óleo Comb'!$J$5:$P$5,4,0)&gt;VLOOKUP($B10-1,'NF Óleo Comb'!$J$5:$P$5,3,0),VLOOKUP($B10,'NF Óleo Comb'!$B$5:$H$51,6,0)/VLOOKUP($B10,'NF Óleo Comb'!$B$5:$H$51,3,0),Tributos!D10)))</f>
        <v>#N/A</v>
      </c>
      <c r="E11" s="14" t="e">
        <f>IF(VLOOKUP($B11-1,'NF Diesel'!$T$5:$Z$18,7,0)="SIM",VLOOKUP($B11,'NF Diesel'!$B$5:$H$41,6,0)/VLOOKUP($B11,'NF Diesel'!$B$5:$H$41,3,0),IF(VLOOKUP($B11-1,'NF Diesel'!$T$5:$Z$18,4,0)&gt;VLOOKUP($B11-1,'NF Diesel'!$T$5:$Z$18,3,0),VLOOKUP($B11,'NF Diesel'!$B$5:$H$41,6,0)/VLOOKUP($B11,'NF Diesel'!$B$5:$H$41,3,0),IF(VLOOKUP($B11-1,'NF Diesel'!$T$5:$Z$18,4,0)&gt;VLOOKUP($B10-1,'NF Diesel'!$T$5:$Z$18,3,0),VLOOKUP($B10,'NF Diesel'!$B$5:$H$41,6,0)/VLOOKUP($B10,'NF Diesel'!$B$5:$H$41,3,0),Tributos!E10)))</f>
        <v>#N/A</v>
      </c>
      <c r="F11" s="14" t="e">
        <f>IF(VLOOKUP($B11-1,'NF Óleo Comb'!$J$5:$P$5,7,0)="SIM",VLOOKUP($B11,'NF Óleo Comb'!$B$5:$H$51,5,0)/VLOOKUP($B11,'NF Óleo Comb'!$B$5:$H$51,3,0),IF(VLOOKUP($B11-1,'NF Óleo Comb'!$J$5:$P$5,4,0)&gt;VLOOKUP($B11-1,'NF Óleo Comb'!$J$5:$P$5,3,0),VLOOKUP($B11,'NF Óleo Comb'!$B$5:$H$51,5,0)/VLOOKUP($B11,'NF Óleo Comb'!$B$5:$H$51,3,0),IF(VLOOKUP($B11-1,'NF Óleo Comb'!$J$5:$P$5,4,0)&gt;VLOOKUP($B10-1,'NF Óleo Comb'!$J$5:$P$5,3,0),VLOOKUP($B10,'NF Óleo Comb'!$B$5:$H$51,5,0)/VLOOKUP($B10,'NF Óleo Comb'!$B$5:$H$51,3,0),Tributos!F10)))</f>
        <v>#N/A</v>
      </c>
      <c r="G11" s="32" t="e">
        <f>VLOOKUP(EOMONTH($B11,0),SCD!$B$6:$H$65,4,0)*1000</f>
        <v>#N/A</v>
      </c>
      <c r="H11" s="32" t="e">
        <f>VLOOKUP(EOMONTH($B11,0),SCD!$B$6:$H$65,5,0)*1000</f>
        <v>#N/A</v>
      </c>
      <c r="I11" s="19">
        <v>1</v>
      </c>
      <c r="J11" s="19">
        <v>0</v>
      </c>
      <c r="K11" s="19">
        <f>Parâmetros!$D$6</f>
        <v>1</v>
      </c>
      <c r="L11" s="15" t="e">
        <f t="shared" si="0"/>
        <v>#N/A</v>
      </c>
    </row>
    <row r="12" spans="2:12" x14ac:dyDescent="0.35">
      <c r="B12" s="16">
        <v>44318</v>
      </c>
      <c r="C12" s="14" t="e">
        <f>IF(VLOOKUP($B12-1,'NF Diesel'!$T$5:$Z$18,7,0)="SIM",VLOOKUP($B12,'NF Diesel'!$B$5:$H$41,7,0)/VLOOKUP($B12,'NF Diesel'!$B$5:$H$41,3,0),IF(VLOOKUP($B12-1,'NF Diesel'!$T$5:$Z$18,4,0)&gt;VLOOKUP($B12-1,'NF Diesel'!$T$5:$Z$18,3,0),VLOOKUP($B12,'NF Diesel'!$B$5:$H$41,7,0)/VLOOKUP($B12,'NF Diesel'!$B$5:$H$41,3,0),IF(VLOOKUP($B12-1,'NF Diesel'!$T$5:$Z$18,4,0)&gt;VLOOKUP($B11-1,'NF Diesel'!$T$5:$Z$18,3,0),VLOOKUP($B11,'NF Diesel'!$B$5:$H$41,7,0)/VLOOKUP($B11,'NF Diesel'!$B$5:$H$41,3,0),Tributos!C11)))</f>
        <v>#N/A</v>
      </c>
      <c r="D12" s="14" t="e">
        <f>IF(VLOOKUP($B12-1,'NF Óleo Comb'!$J$5:$P$5,7,0)="SIM",VLOOKUP($B12,'NF Óleo Comb'!$B$5:$H$51,6,0)/VLOOKUP($B12,'NF Óleo Comb'!$B$5:$H$51,3,0),IF(VLOOKUP($B12-1,'NF Óleo Comb'!$J$5:$P$5,4,0)&gt;VLOOKUP($B12-1,'NF Óleo Comb'!$J$5:$P$5,3,0),VLOOKUP($B12,'NF Óleo Comb'!$B$5:$H$51,6,0)/VLOOKUP($B12,'NF Óleo Comb'!$B$5:$H$51,3,0),IF(VLOOKUP($B12-1,'NF Óleo Comb'!$J$5:$P$5,4,0)&gt;VLOOKUP($B11-1,'NF Óleo Comb'!$J$5:$P$5,3,0),VLOOKUP($B11,'NF Óleo Comb'!$B$5:$H$51,6,0)/VLOOKUP($B11,'NF Óleo Comb'!$B$5:$H$51,3,0),Tributos!D11)))</f>
        <v>#N/A</v>
      </c>
      <c r="E12" s="14" t="e">
        <f>IF(VLOOKUP($B12-1,'NF Diesel'!$T$5:$Z$18,7,0)="SIM",VLOOKUP($B12,'NF Diesel'!$B$5:$H$41,6,0)/VLOOKUP($B12,'NF Diesel'!$B$5:$H$41,3,0),IF(VLOOKUP($B12-1,'NF Diesel'!$T$5:$Z$18,4,0)&gt;VLOOKUP($B12-1,'NF Diesel'!$T$5:$Z$18,3,0),VLOOKUP($B12,'NF Diesel'!$B$5:$H$41,6,0)/VLOOKUP($B12,'NF Diesel'!$B$5:$H$41,3,0),IF(VLOOKUP($B12-1,'NF Diesel'!$T$5:$Z$18,4,0)&gt;VLOOKUP($B11-1,'NF Diesel'!$T$5:$Z$18,3,0),VLOOKUP($B11,'NF Diesel'!$B$5:$H$41,6,0)/VLOOKUP($B11,'NF Diesel'!$B$5:$H$41,3,0),Tributos!E11)))</f>
        <v>#N/A</v>
      </c>
      <c r="F12" s="14" t="e">
        <f>IF(VLOOKUP($B12-1,'NF Óleo Comb'!$J$5:$P$5,7,0)="SIM",VLOOKUP($B12,'NF Óleo Comb'!$B$5:$H$51,5,0)/VLOOKUP($B12,'NF Óleo Comb'!$B$5:$H$51,3,0),IF(VLOOKUP($B12-1,'NF Óleo Comb'!$J$5:$P$5,4,0)&gt;VLOOKUP($B12-1,'NF Óleo Comb'!$J$5:$P$5,3,0),VLOOKUP($B12,'NF Óleo Comb'!$B$5:$H$51,5,0)/VLOOKUP($B12,'NF Óleo Comb'!$B$5:$H$51,3,0),IF(VLOOKUP($B12-1,'NF Óleo Comb'!$J$5:$P$5,4,0)&gt;VLOOKUP($B11-1,'NF Óleo Comb'!$J$5:$P$5,3,0),VLOOKUP($B11,'NF Óleo Comb'!$B$5:$H$51,5,0)/VLOOKUP($B11,'NF Óleo Comb'!$B$5:$H$51,3,0),Tributos!F11)))</f>
        <v>#N/A</v>
      </c>
      <c r="G12" s="32" t="e">
        <f>VLOOKUP(EOMONTH($B12,0),SCD!$B$6:$H$65,4,0)*1000</f>
        <v>#N/A</v>
      </c>
      <c r="H12" s="32" t="e">
        <f>VLOOKUP(EOMONTH($B12,0),SCD!$B$6:$H$65,5,0)*1000</f>
        <v>#N/A</v>
      </c>
      <c r="I12" s="19">
        <v>1</v>
      </c>
      <c r="J12" s="19">
        <v>0</v>
      </c>
      <c r="K12" s="19">
        <f>Parâmetros!$D$6</f>
        <v>1</v>
      </c>
      <c r="L12" s="15" t="e">
        <f t="shared" si="0"/>
        <v>#N/A</v>
      </c>
    </row>
    <row r="13" spans="2:12" x14ac:dyDescent="0.35">
      <c r="B13" s="16">
        <v>44349</v>
      </c>
      <c r="C13" s="14" t="e">
        <f>IF(VLOOKUP($B13-1,'NF Diesel'!$T$5:$Z$18,7,0)="SIM",VLOOKUP($B13,'NF Diesel'!$B$5:$H$41,7,0)/VLOOKUP($B13,'NF Diesel'!$B$5:$H$41,3,0),IF(VLOOKUP($B13-1,'NF Diesel'!$T$5:$Z$18,4,0)&gt;VLOOKUP($B13-1,'NF Diesel'!$T$5:$Z$18,3,0),VLOOKUP($B13,'NF Diesel'!$B$5:$H$41,7,0)/VLOOKUP($B13,'NF Diesel'!$B$5:$H$41,3,0),IF(VLOOKUP($B13-1,'NF Diesel'!$T$5:$Z$18,4,0)&gt;VLOOKUP($B12-1,'NF Diesel'!$T$5:$Z$18,3,0),VLOOKUP($B12,'NF Diesel'!$B$5:$H$41,7,0)/VLOOKUP($B12,'NF Diesel'!$B$5:$H$41,3,0),Tributos!C12)))</f>
        <v>#N/A</v>
      </c>
      <c r="D13" s="14" t="e">
        <f>IF(VLOOKUP($B13-1,'NF Óleo Comb'!$J$5:$P$5,7,0)="SIM",VLOOKUP($B13,'NF Óleo Comb'!$B$5:$H$51,6,0)/VLOOKUP($B13,'NF Óleo Comb'!$B$5:$H$51,3,0),IF(VLOOKUP($B13-1,'NF Óleo Comb'!$J$5:$P$5,4,0)&gt;VLOOKUP($B13-1,'NF Óleo Comb'!$J$5:$P$5,3,0),VLOOKUP($B13,'NF Óleo Comb'!$B$5:$H$51,6,0)/VLOOKUP($B13,'NF Óleo Comb'!$B$5:$H$51,3,0),IF(VLOOKUP($B13-1,'NF Óleo Comb'!$J$5:$P$5,4,0)&gt;VLOOKUP($B12-1,'NF Óleo Comb'!$J$5:$P$5,3,0),VLOOKUP($B12,'NF Óleo Comb'!$B$5:$H$51,6,0)/VLOOKUP($B12,'NF Óleo Comb'!$B$5:$H$51,3,0),Tributos!D12)))</f>
        <v>#N/A</v>
      </c>
      <c r="E13" s="14" t="e">
        <f>IF(VLOOKUP($B13-1,'NF Diesel'!$T$5:$Z$18,7,0)="SIM",VLOOKUP($B13,'NF Diesel'!$B$5:$H$41,6,0)/VLOOKUP($B13,'NF Diesel'!$B$5:$H$41,3,0),IF(VLOOKUP($B13-1,'NF Diesel'!$T$5:$Z$18,4,0)&gt;VLOOKUP($B13-1,'NF Diesel'!$T$5:$Z$18,3,0),VLOOKUP($B13,'NF Diesel'!$B$5:$H$41,6,0)/VLOOKUP($B13,'NF Diesel'!$B$5:$H$41,3,0),IF(VLOOKUP($B13-1,'NF Diesel'!$T$5:$Z$18,4,0)&gt;VLOOKUP($B12-1,'NF Diesel'!$T$5:$Z$18,3,0),VLOOKUP($B12,'NF Diesel'!$B$5:$H$41,6,0)/VLOOKUP($B12,'NF Diesel'!$B$5:$H$41,3,0),Tributos!E12)))</f>
        <v>#N/A</v>
      </c>
      <c r="F13" s="14" t="e">
        <f>IF(VLOOKUP($B13-1,'NF Óleo Comb'!$J$5:$P$5,7,0)="SIM",VLOOKUP($B13,'NF Óleo Comb'!$B$5:$H$51,5,0)/VLOOKUP($B13,'NF Óleo Comb'!$B$5:$H$51,3,0),IF(VLOOKUP($B13-1,'NF Óleo Comb'!$J$5:$P$5,4,0)&gt;VLOOKUP($B13-1,'NF Óleo Comb'!$J$5:$P$5,3,0),VLOOKUP($B13,'NF Óleo Comb'!$B$5:$H$51,5,0)/VLOOKUP($B13,'NF Óleo Comb'!$B$5:$H$51,3,0),IF(VLOOKUP($B13-1,'NF Óleo Comb'!$J$5:$P$5,4,0)&gt;VLOOKUP($B12-1,'NF Óleo Comb'!$J$5:$P$5,3,0),VLOOKUP($B12,'NF Óleo Comb'!$B$5:$H$51,5,0)/VLOOKUP($B12,'NF Óleo Comb'!$B$5:$H$51,3,0),Tributos!F12)))</f>
        <v>#N/A</v>
      </c>
      <c r="G13" s="32" t="e">
        <f>VLOOKUP(EOMONTH($B13,0),SCD!$B$6:$H$65,4,0)*1000</f>
        <v>#N/A</v>
      </c>
      <c r="H13" s="32" t="e">
        <f>VLOOKUP(EOMONTH($B13,0),SCD!$B$6:$H$65,5,0)*1000</f>
        <v>#N/A</v>
      </c>
      <c r="I13" s="19">
        <v>1</v>
      </c>
      <c r="J13" s="19">
        <v>0</v>
      </c>
      <c r="K13" s="19">
        <f>Parâmetros!$D$6</f>
        <v>1</v>
      </c>
      <c r="L13" s="15" t="e">
        <f t="shared" si="0"/>
        <v>#N/A</v>
      </c>
    </row>
    <row r="14" spans="2:12" x14ac:dyDescent="0.35">
      <c r="B14" s="16">
        <v>44379</v>
      </c>
      <c r="C14" s="14" t="e">
        <f>IF(VLOOKUP($B14-1,'NF Diesel'!$T$5:$Z$18,7,0)="SIM",VLOOKUP($B14,'NF Diesel'!$B$5:$H$41,7,0)/VLOOKUP($B14,'NF Diesel'!$B$5:$H$41,3,0),IF(VLOOKUP($B14-1,'NF Diesel'!$T$5:$Z$18,4,0)&gt;VLOOKUP($B14-1,'NF Diesel'!$T$5:$Z$18,3,0),VLOOKUP($B14,'NF Diesel'!$B$5:$H$41,7,0)/VLOOKUP($B14,'NF Diesel'!$B$5:$H$41,3,0),IF(VLOOKUP($B14-1,'NF Diesel'!$T$5:$Z$18,4,0)&gt;VLOOKUP($B13-1,'NF Diesel'!$T$5:$Z$18,3,0),VLOOKUP($B13,'NF Diesel'!$B$5:$H$41,7,0)/VLOOKUP($B13,'NF Diesel'!$B$5:$H$41,3,0),Tributos!C13)))</f>
        <v>#N/A</v>
      </c>
      <c r="D14" s="14" t="e">
        <f>IF(VLOOKUP($B14-1,'NF Óleo Comb'!$J$5:$P$5,7,0)="SIM",VLOOKUP($B14,'NF Óleo Comb'!$B$5:$H$51,6,0)/VLOOKUP($B14,'NF Óleo Comb'!$B$5:$H$51,3,0),IF(VLOOKUP($B14-1,'NF Óleo Comb'!$J$5:$P$5,4,0)&gt;VLOOKUP($B14-1,'NF Óleo Comb'!$J$5:$P$5,3,0),VLOOKUP($B14,'NF Óleo Comb'!$B$5:$H$51,6,0)/VLOOKUP($B14,'NF Óleo Comb'!$B$5:$H$51,3,0),IF(VLOOKUP($B14-1,'NF Óleo Comb'!$J$5:$P$5,4,0)&gt;VLOOKUP($B13-1,'NF Óleo Comb'!$J$5:$P$5,3,0),VLOOKUP($B13,'NF Óleo Comb'!$B$5:$H$51,6,0)/VLOOKUP($B13,'NF Óleo Comb'!$B$5:$H$51,3,0),Tributos!D13)))</f>
        <v>#N/A</v>
      </c>
      <c r="E14" s="14" t="e">
        <f>IF(VLOOKUP($B14-1,'NF Diesel'!$T$5:$Z$18,7,0)="SIM",VLOOKUP($B14,'NF Diesel'!$B$5:$H$41,6,0)/VLOOKUP($B14,'NF Diesel'!$B$5:$H$41,3,0),IF(VLOOKUP($B14-1,'NF Diesel'!$T$5:$Z$18,4,0)&gt;VLOOKUP($B14-1,'NF Diesel'!$T$5:$Z$18,3,0),VLOOKUP($B14,'NF Diesel'!$B$5:$H$41,6,0)/VLOOKUP($B14,'NF Diesel'!$B$5:$H$41,3,0),IF(VLOOKUP($B14-1,'NF Diesel'!$T$5:$Z$18,4,0)&gt;VLOOKUP($B13-1,'NF Diesel'!$T$5:$Z$18,3,0),VLOOKUP($B13,'NF Diesel'!$B$5:$H$41,6,0)/VLOOKUP($B13,'NF Diesel'!$B$5:$H$41,3,0),Tributos!E13)))</f>
        <v>#N/A</v>
      </c>
      <c r="F14" s="14" t="e">
        <f>IF(VLOOKUP($B14-1,'NF Óleo Comb'!$J$5:$P$5,7,0)="SIM",VLOOKUP($B14,'NF Óleo Comb'!$B$5:$H$51,5,0)/VLOOKUP($B14,'NF Óleo Comb'!$B$5:$H$51,3,0),IF(VLOOKUP($B14-1,'NF Óleo Comb'!$J$5:$P$5,4,0)&gt;VLOOKUP($B14-1,'NF Óleo Comb'!$J$5:$P$5,3,0),VLOOKUP($B14,'NF Óleo Comb'!$B$5:$H$51,5,0)/VLOOKUP($B14,'NF Óleo Comb'!$B$5:$H$51,3,0),IF(VLOOKUP($B14-1,'NF Óleo Comb'!$J$5:$P$5,4,0)&gt;VLOOKUP($B13-1,'NF Óleo Comb'!$J$5:$P$5,3,0),VLOOKUP($B13,'NF Óleo Comb'!$B$5:$H$51,5,0)/VLOOKUP($B13,'NF Óleo Comb'!$B$5:$H$51,3,0),Tributos!F13)))</f>
        <v>#N/A</v>
      </c>
      <c r="G14" s="32" t="e">
        <f>VLOOKUP(EOMONTH($B14,0),SCD!$B$6:$H$65,4,0)*1000</f>
        <v>#N/A</v>
      </c>
      <c r="H14" s="32" t="e">
        <f>VLOOKUP(EOMONTH($B14,0),SCD!$B$6:$H$65,5,0)*1000</f>
        <v>#N/A</v>
      </c>
      <c r="I14" s="19">
        <v>1</v>
      </c>
      <c r="J14" s="19">
        <v>0</v>
      </c>
      <c r="K14" s="19">
        <f>Parâmetros!$D$6</f>
        <v>1</v>
      </c>
      <c r="L14" s="15" t="e">
        <f t="shared" ref="L14" si="1">(C14*G14*(1-J14)+D14*H14*(1-J14)+E14*G14*(1-I14)+F14*H14*(1-I14))*K14</f>
        <v>#N/A</v>
      </c>
    </row>
    <row r="15" spans="2:12" x14ac:dyDescent="0.35">
      <c r="B15" s="16">
        <v>44410</v>
      </c>
      <c r="C15" s="14" t="e">
        <f>IF(VLOOKUP($B15-1,'NF Diesel'!$T$5:$Z$18,7,0)="SIM",VLOOKUP($B15,'NF Diesel'!$B$5:$H$41,7,0)/VLOOKUP($B15,'NF Diesel'!$B$5:$H$41,3,0),IF(VLOOKUP($B15-1,'NF Diesel'!$T$5:$Z$18,4,0)&gt;VLOOKUP($B15-1,'NF Diesel'!$T$5:$Z$18,3,0),VLOOKUP($B15,'NF Diesel'!$B$5:$H$41,7,0)/VLOOKUP($B15,'NF Diesel'!$B$5:$H$41,3,0),IF(VLOOKUP($B15-1,'NF Diesel'!$T$5:$Z$18,4,0)&gt;VLOOKUP($B14-1,'NF Diesel'!$T$5:$Z$18,3,0),VLOOKUP($B14,'NF Diesel'!$B$5:$H$41,7,0)/VLOOKUP($B14,'NF Diesel'!$B$5:$H$41,3,0),Tributos!C14)))</f>
        <v>#N/A</v>
      </c>
      <c r="D15" s="14" t="e">
        <f>IF(VLOOKUP($B15-1,'NF Óleo Comb'!$J$5:$P$5,7,0)="SIM",VLOOKUP($B15,'NF Óleo Comb'!$B$5:$H$51,6,0)/VLOOKUP($B15,'NF Óleo Comb'!$B$5:$H$51,3,0),IF(VLOOKUP($B15-1,'NF Óleo Comb'!$J$5:$P$5,4,0)&gt;VLOOKUP($B15-1,'NF Óleo Comb'!$J$5:$P$5,3,0),VLOOKUP($B15,'NF Óleo Comb'!$B$5:$H$51,6,0)/VLOOKUP($B15,'NF Óleo Comb'!$B$5:$H$51,3,0),IF(VLOOKUP($B15-1,'NF Óleo Comb'!$J$5:$P$5,4,0)&gt;VLOOKUP($B14-1,'NF Óleo Comb'!$J$5:$P$5,3,0),VLOOKUP($B14,'NF Óleo Comb'!$B$5:$H$51,6,0)/VLOOKUP($B14,'NF Óleo Comb'!$B$5:$H$51,3,0),Tributos!D14)))</f>
        <v>#N/A</v>
      </c>
      <c r="E15" s="14" t="e">
        <f>IF(VLOOKUP($B15-1,'NF Diesel'!$T$5:$Z$18,7,0)="SIM",VLOOKUP($B15,'NF Diesel'!$B$5:$H$41,6,0)/VLOOKUP($B15,'NF Diesel'!$B$5:$H$41,3,0),IF(VLOOKUP($B15-1,'NF Diesel'!$T$5:$Z$18,4,0)&gt;VLOOKUP($B15-1,'NF Diesel'!$T$5:$Z$18,3,0),VLOOKUP($B15,'NF Diesel'!$B$5:$H$41,6,0)/VLOOKUP($B15,'NF Diesel'!$B$5:$H$41,3,0),IF(VLOOKUP($B15-1,'NF Diesel'!$T$5:$Z$18,4,0)&gt;VLOOKUP($B14-1,'NF Diesel'!$T$5:$Z$18,3,0),VLOOKUP($B14,'NF Diesel'!$B$5:$H$41,6,0)/VLOOKUP($B14,'NF Diesel'!$B$5:$H$41,3,0),Tributos!E14)))</f>
        <v>#N/A</v>
      </c>
      <c r="F15" s="14" t="e">
        <f>IF(VLOOKUP($B15-1,'NF Óleo Comb'!$J$5:$P$5,7,0)="SIM",VLOOKUP($B15,'NF Óleo Comb'!$B$5:$H$51,5,0)/VLOOKUP($B15,'NF Óleo Comb'!$B$5:$H$51,3,0),IF(VLOOKUP($B15-1,'NF Óleo Comb'!$J$5:$P$5,4,0)&gt;VLOOKUP($B15-1,'NF Óleo Comb'!$J$5:$P$5,3,0),VLOOKUP($B15,'NF Óleo Comb'!$B$5:$H$51,5,0)/VLOOKUP($B15,'NF Óleo Comb'!$B$5:$H$51,3,0),IF(VLOOKUP($B15-1,'NF Óleo Comb'!$J$5:$P$5,4,0)&gt;VLOOKUP($B14-1,'NF Óleo Comb'!$J$5:$P$5,3,0),VLOOKUP($B14,'NF Óleo Comb'!$B$5:$H$51,5,0)/VLOOKUP($B14,'NF Óleo Comb'!$B$5:$H$51,3,0),Tributos!F14)))</f>
        <v>#N/A</v>
      </c>
      <c r="G15" s="32" t="e">
        <f>VLOOKUP(EOMONTH($B15,0),SCD!$B$6:$H$65,4,0)*1000</f>
        <v>#N/A</v>
      </c>
      <c r="H15" s="32" t="e">
        <f>VLOOKUP(EOMONTH($B15,0),SCD!$B$6:$H$65,5,0)*1000</f>
        <v>#N/A</v>
      </c>
      <c r="I15" s="19">
        <v>1</v>
      </c>
      <c r="J15" s="19">
        <v>0</v>
      </c>
      <c r="K15" s="19">
        <f>Parâmetros!$D$6</f>
        <v>1</v>
      </c>
      <c r="L15" s="15" t="e">
        <f t="shared" ref="L15" si="2">(C15*G15*(1-J15)+D15*H15*(1-J15)+E15*G15*(1-I15)+F15*H15*(1-I15))*K15</f>
        <v>#N/A</v>
      </c>
    </row>
    <row r="16" spans="2:12" x14ac:dyDescent="0.35">
      <c r="B16" s="16">
        <v>44441</v>
      </c>
      <c r="C16" s="14" t="e">
        <f>IF(VLOOKUP($B16-1,'NF Diesel'!$T$5:$Z$18,7,0)="SIM",VLOOKUP($B16,'NF Diesel'!$B$5:$H$41,7,0)/VLOOKUP($B16,'NF Diesel'!$B$5:$H$41,3,0),IF(VLOOKUP($B16-1,'NF Diesel'!$T$5:$Z$18,4,0)&gt;VLOOKUP($B16-1,'NF Diesel'!$T$5:$Z$18,3,0),VLOOKUP($B16,'NF Diesel'!$B$5:$H$41,7,0)/VLOOKUP($B16,'NF Diesel'!$B$5:$H$41,3,0),IF(VLOOKUP($B16-1,'NF Diesel'!$T$5:$Z$18,4,0)&gt;VLOOKUP($B15-1,'NF Diesel'!$T$5:$Z$18,3,0),VLOOKUP($B15,'NF Diesel'!$B$5:$H$41,7,0)/VLOOKUP($B15,'NF Diesel'!$B$5:$H$41,3,0),Tributos!C15)))</f>
        <v>#N/A</v>
      </c>
      <c r="D16" s="14" t="e">
        <f>IF(VLOOKUP($B16-1,'NF Óleo Comb'!$J$5:$P$5,7,0)="SIM",VLOOKUP($B16,'NF Óleo Comb'!$B$5:$H$51,6,0)/VLOOKUP($B16,'NF Óleo Comb'!$B$5:$H$51,3,0),IF(VLOOKUP($B16-1,'NF Óleo Comb'!$J$5:$P$5,4,0)&gt;VLOOKUP($B16-1,'NF Óleo Comb'!$J$5:$P$5,3,0),VLOOKUP($B16,'NF Óleo Comb'!$B$5:$H$51,6,0)/VLOOKUP($B16,'NF Óleo Comb'!$B$5:$H$51,3,0),IF(VLOOKUP($B16-1,'NF Óleo Comb'!$J$5:$P$5,4,0)&gt;VLOOKUP($B15-1,'NF Óleo Comb'!$J$5:$P$5,3,0),VLOOKUP($B15,'NF Óleo Comb'!$B$5:$H$51,6,0)/VLOOKUP($B15,'NF Óleo Comb'!$B$5:$H$51,3,0),Tributos!D15)))</f>
        <v>#N/A</v>
      </c>
      <c r="E16" s="14" t="e">
        <f>IF(VLOOKUP($B16-1,'NF Diesel'!$T$5:$Z$18,7,0)="SIM",VLOOKUP($B16,'NF Diesel'!$B$5:$H$41,6,0)/VLOOKUP($B16,'NF Diesel'!$B$5:$H$41,3,0),IF(VLOOKUP($B16-1,'NF Diesel'!$T$5:$Z$18,4,0)&gt;VLOOKUP($B16-1,'NF Diesel'!$T$5:$Z$18,3,0),VLOOKUP($B16,'NF Diesel'!$B$5:$H$41,6,0)/VLOOKUP($B16,'NF Diesel'!$B$5:$H$41,3,0),IF(VLOOKUP($B16-1,'NF Diesel'!$T$5:$Z$18,4,0)&gt;VLOOKUP($B15-1,'NF Diesel'!$T$5:$Z$18,3,0),VLOOKUP($B15,'NF Diesel'!$B$5:$H$41,6,0)/VLOOKUP($B15,'NF Diesel'!$B$5:$H$41,3,0),Tributos!E15)))</f>
        <v>#N/A</v>
      </c>
      <c r="F16" s="14" t="e">
        <f>IF(VLOOKUP($B16-1,'NF Óleo Comb'!$J$5:$P$5,7,0)="SIM",VLOOKUP($B16,'NF Óleo Comb'!$B$5:$H$51,5,0)/VLOOKUP($B16,'NF Óleo Comb'!$B$5:$H$51,3,0),IF(VLOOKUP($B16-1,'NF Óleo Comb'!$J$5:$P$5,4,0)&gt;VLOOKUP($B16-1,'NF Óleo Comb'!$J$5:$P$5,3,0),VLOOKUP($B16,'NF Óleo Comb'!$B$5:$H$51,5,0)/VLOOKUP($B16,'NF Óleo Comb'!$B$5:$H$51,3,0),IF(VLOOKUP($B16-1,'NF Óleo Comb'!$J$5:$P$5,4,0)&gt;VLOOKUP($B15-1,'NF Óleo Comb'!$J$5:$P$5,3,0),VLOOKUP($B15,'NF Óleo Comb'!$B$5:$H$51,5,0)/VLOOKUP($B15,'NF Óleo Comb'!$B$5:$H$51,3,0),Tributos!F15)))</f>
        <v>#N/A</v>
      </c>
      <c r="G16" s="32" t="e">
        <f>VLOOKUP(EOMONTH($B16,0),SCD!$B$6:$H$65,4,0)*1000</f>
        <v>#N/A</v>
      </c>
      <c r="H16" s="32" t="e">
        <f>VLOOKUP(EOMONTH($B16,0),SCD!$B$6:$H$65,5,0)*1000</f>
        <v>#N/A</v>
      </c>
      <c r="I16" s="19">
        <v>1</v>
      </c>
      <c r="J16" s="19">
        <v>1</v>
      </c>
      <c r="K16" s="19">
        <f>Parâmetros!$D$6</f>
        <v>1</v>
      </c>
      <c r="L16" s="15" t="e">
        <f t="shared" ref="L16:L17" si="3">(C16*G16*(1-J16)+D16*H16*(1-J16)+E16*G16*(1-I16)+F16*H16*(1-I16))*K16</f>
        <v>#N/A</v>
      </c>
    </row>
    <row r="17" spans="2:12" x14ac:dyDescent="0.35">
      <c r="B17" s="16">
        <v>44471</v>
      </c>
      <c r="C17" s="14" t="e">
        <f>IF(VLOOKUP($B17-1,'NF Diesel'!$T$5:$Z$18,7,0)="SIM",VLOOKUP($B17,'NF Diesel'!$B$5:$H$41,7,0)/VLOOKUP($B17,'NF Diesel'!$B$5:$H$41,3,0),IF(VLOOKUP($B17-1,'NF Diesel'!$T$5:$Z$18,4,0)&gt;VLOOKUP($B17-1,'NF Diesel'!$T$5:$Z$18,3,0),VLOOKUP($B17,'NF Diesel'!$B$5:$H$41,7,0)/VLOOKUP($B17,'NF Diesel'!$B$5:$H$41,3,0),IF(VLOOKUP($B17-1,'NF Diesel'!$T$5:$Z$18,4,0)&gt;VLOOKUP($B16-1,'NF Diesel'!$T$5:$Z$18,3,0),VLOOKUP($B16,'NF Diesel'!$B$5:$H$41,7,0)/VLOOKUP($B16,'NF Diesel'!$B$5:$H$41,3,0),Tributos!C16)))</f>
        <v>#N/A</v>
      </c>
      <c r="D17" s="14" t="e">
        <f>IF(VLOOKUP($B17-1,'NF Óleo Comb'!$J$5:$P$5,7,0)="SIM",VLOOKUP($B17,'NF Óleo Comb'!$B$5:$H$51,6,0)/VLOOKUP($B17,'NF Óleo Comb'!$B$5:$H$51,3,0),IF(VLOOKUP($B17-1,'NF Óleo Comb'!$J$5:$P$5,4,0)&gt;VLOOKUP($B17-1,'NF Óleo Comb'!$J$5:$P$5,3,0),VLOOKUP($B17,'NF Óleo Comb'!$B$5:$H$51,6,0)/VLOOKUP($B17,'NF Óleo Comb'!$B$5:$H$51,3,0),IF(VLOOKUP($B17-1,'NF Óleo Comb'!$J$5:$P$5,4,0)&gt;VLOOKUP($B16-1,'NF Óleo Comb'!$J$5:$P$5,3,0),VLOOKUP($B16,'NF Óleo Comb'!$B$5:$H$51,6,0)/VLOOKUP($B16,'NF Óleo Comb'!$B$5:$H$51,3,0),Tributos!D16)))</f>
        <v>#N/A</v>
      </c>
      <c r="E17" s="14" t="e">
        <f>IF(VLOOKUP($B17-1,'NF Diesel'!$T$5:$Z$18,7,0)="SIM",VLOOKUP($B17,'NF Diesel'!$B$5:$H$41,6,0)/VLOOKUP($B17,'NF Diesel'!$B$5:$H$41,3,0),IF(VLOOKUP($B17-1,'NF Diesel'!$T$5:$Z$18,4,0)&gt;VLOOKUP($B17-1,'NF Diesel'!$T$5:$Z$18,3,0),VLOOKUP($B17,'NF Diesel'!$B$5:$H$41,6,0)/VLOOKUP($B17,'NF Diesel'!$B$5:$H$41,3,0),IF(VLOOKUP($B17-1,'NF Diesel'!$T$5:$Z$18,4,0)&gt;VLOOKUP($B16-1,'NF Diesel'!$T$5:$Z$18,3,0),VLOOKUP($B16,'NF Diesel'!$B$5:$H$41,6,0)/VLOOKUP($B16,'NF Diesel'!$B$5:$H$41,3,0),Tributos!E16)))</f>
        <v>#N/A</v>
      </c>
      <c r="F17" s="14" t="e">
        <f>IF(VLOOKUP($B17-1,'NF Óleo Comb'!$J$5:$P$5,7,0)="SIM",VLOOKUP($B17,'NF Óleo Comb'!$B$5:$H$51,5,0)/VLOOKUP($B17,'NF Óleo Comb'!$B$5:$H$51,3,0),IF(VLOOKUP($B17-1,'NF Óleo Comb'!$J$5:$P$5,4,0)&gt;VLOOKUP($B17-1,'NF Óleo Comb'!$J$5:$P$5,3,0),VLOOKUP($B17,'NF Óleo Comb'!$B$5:$H$51,5,0)/VLOOKUP($B17,'NF Óleo Comb'!$B$5:$H$51,3,0),IF(VLOOKUP($B17-1,'NF Óleo Comb'!$J$5:$P$5,4,0)&gt;VLOOKUP($B16-1,'NF Óleo Comb'!$J$5:$P$5,3,0),VLOOKUP($B16,'NF Óleo Comb'!$B$5:$H$51,5,0)/VLOOKUP($B16,'NF Óleo Comb'!$B$5:$H$51,3,0),Tributos!F16)))</f>
        <v>#N/A</v>
      </c>
      <c r="G17" s="32" t="e">
        <f>VLOOKUP(EOMONTH($B17,0),SCD!$B$6:$H$65,4,0)*1000</f>
        <v>#N/A</v>
      </c>
      <c r="H17" s="32" t="e">
        <f>VLOOKUP(EOMONTH($B17,0),SCD!$B$6:$H$65,5,0)*1000</f>
        <v>#N/A</v>
      </c>
      <c r="I17" s="19">
        <v>1</v>
      </c>
      <c r="J17" s="19">
        <v>1</v>
      </c>
      <c r="K17" s="19">
        <f>Parâmetros!$D$6</f>
        <v>1</v>
      </c>
      <c r="L17" s="15" t="e">
        <f t="shared" si="3"/>
        <v>#N/A</v>
      </c>
    </row>
    <row r="18" spans="2:12" x14ac:dyDescent="0.35">
      <c r="B18" s="16">
        <v>44502</v>
      </c>
      <c r="C18" s="14" t="e">
        <f>IF(VLOOKUP($B18-1,'NF Diesel'!$T$5:$Z$18,7,0)="SIM",VLOOKUP($B18,'NF Diesel'!$B$5:$H$41,7,0)/VLOOKUP($B18,'NF Diesel'!$B$5:$H$41,3,0),IF(VLOOKUP($B18-1,'NF Diesel'!$T$5:$Z$18,4,0)&gt;VLOOKUP($B18-1,'NF Diesel'!$T$5:$Z$18,3,0),VLOOKUP($B18,'NF Diesel'!$B$5:$H$41,7,0)/VLOOKUP($B18,'NF Diesel'!$B$5:$H$41,3,0),IF(VLOOKUP($B18-1,'NF Diesel'!$T$5:$Z$18,4,0)&gt;VLOOKUP($B17-1,'NF Diesel'!$T$5:$Z$18,3,0),VLOOKUP($B17,'NF Diesel'!$B$5:$H$41,7,0)/VLOOKUP($B17,'NF Diesel'!$B$5:$H$41,3,0),Tributos!C17)))</f>
        <v>#N/A</v>
      </c>
      <c r="D18" s="14" t="e">
        <f>IF(VLOOKUP($B18-1,'NF Óleo Comb'!$J$5:$P$5,7,0)="SIM",VLOOKUP($B18,'NF Óleo Comb'!$B$5:$H$51,6,0)/VLOOKUP($B18,'NF Óleo Comb'!$B$5:$H$51,3,0),IF(VLOOKUP($B18-1,'NF Óleo Comb'!$J$5:$P$5,4,0)&gt;VLOOKUP($B18-1,'NF Óleo Comb'!$J$5:$P$5,3,0),VLOOKUP($B18,'NF Óleo Comb'!$B$5:$H$51,6,0)/VLOOKUP($B18,'NF Óleo Comb'!$B$5:$H$51,3,0),IF(VLOOKUP($B18-1,'NF Óleo Comb'!$J$5:$P$5,4,0)&gt;VLOOKUP($B17-1,'NF Óleo Comb'!$J$5:$P$5,3,0),VLOOKUP($B17,'NF Óleo Comb'!$B$5:$H$51,6,0)/VLOOKUP($B17,'NF Óleo Comb'!$B$5:$H$51,3,0),Tributos!D17)))</f>
        <v>#N/A</v>
      </c>
      <c r="E18" s="14" t="e">
        <f>IF(VLOOKUP($B18-1,'NF Diesel'!$T$5:$Z$18,7,0)="SIM",VLOOKUP($B18,'NF Diesel'!$B$5:$H$41,6,0)/VLOOKUP($B18,'NF Diesel'!$B$5:$H$41,3,0),IF(VLOOKUP($B18-1,'NF Diesel'!$T$5:$Z$18,4,0)&gt;VLOOKUP($B18-1,'NF Diesel'!$T$5:$Z$18,3,0),VLOOKUP($B18,'NF Diesel'!$B$5:$H$41,6,0)/VLOOKUP($B18,'NF Diesel'!$B$5:$H$41,3,0),IF(VLOOKUP($B18-1,'NF Diesel'!$T$5:$Z$18,4,0)&gt;VLOOKUP($B17-1,'NF Diesel'!$T$5:$Z$18,3,0),VLOOKUP($B17,'NF Diesel'!$B$5:$H$41,6,0)/VLOOKUP($B17,'NF Diesel'!$B$5:$H$41,3,0),Tributos!E17)))</f>
        <v>#N/A</v>
      </c>
      <c r="F18" s="14" t="e">
        <f>IF(VLOOKUP($B18-1,'NF Óleo Comb'!$J$5:$P$5,7,0)="SIM",VLOOKUP($B18,'NF Óleo Comb'!$B$5:$H$51,5,0)/VLOOKUP($B18,'NF Óleo Comb'!$B$5:$H$51,3,0),IF(VLOOKUP($B18-1,'NF Óleo Comb'!$J$5:$P$5,4,0)&gt;VLOOKUP($B18-1,'NF Óleo Comb'!$J$5:$P$5,3,0),VLOOKUP($B18,'NF Óleo Comb'!$B$5:$H$51,5,0)/VLOOKUP($B18,'NF Óleo Comb'!$B$5:$H$51,3,0),IF(VLOOKUP($B18-1,'NF Óleo Comb'!$J$5:$P$5,4,0)&gt;VLOOKUP($B17-1,'NF Óleo Comb'!$J$5:$P$5,3,0),VLOOKUP($B17,'NF Óleo Comb'!$B$5:$H$51,5,0)/VLOOKUP($B17,'NF Óleo Comb'!$B$5:$H$51,3,0),Tributos!F17)))</f>
        <v>#N/A</v>
      </c>
      <c r="G18" s="32" t="e">
        <f>VLOOKUP(EOMONTH($B18,0),SCD!$B$6:$H$65,4,0)*1000</f>
        <v>#N/A</v>
      </c>
      <c r="H18" s="32" t="e">
        <f>VLOOKUP(EOMONTH($B18,0),SCD!$B$6:$H$65,5,0)*1000</f>
        <v>#N/A</v>
      </c>
      <c r="I18" s="19">
        <v>1</v>
      </c>
      <c r="J18" s="19">
        <v>1</v>
      </c>
      <c r="K18" s="19">
        <f>Parâmetros!$D$6</f>
        <v>1</v>
      </c>
      <c r="L18" s="15" t="e">
        <f t="shared" ref="L18" si="4">(C18*G18*(1-J18)+D18*H18*(1-J18)+E18*G18*(1-I18)+F18*H18*(1-I18))*K18</f>
        <v>#N/A</v>
      </c>
    </row>
    <row r="19" spans="2:12" x14ac:dyDescent="0.35">
      <c r="B19" s="16">
        <v>44532</v>
      </c>
      <c r="C19" s="14" t="e">
        <f>IF(VLOOKUP($B19-1,'NF Diesel'!$T$5:$Z$18,7,0)="SIM",VLOOKUP($B19,'NF Diesel'!$B$5:$H$41,7,0)/VLOOKUP($B19,'NF Diesel'!$B$5:$H$41,3,0),IF(VLOOKUP($B19-1,'NF Diesel'!$T$5:$Z$18,4,0)&gt;VLOOKUP($B19-1,'NF Diesel'!$T$5:$Z$18,3,0),VLOOKUP($B19,'NF Diesel'!$B$5:$H$41,7,0)/VLOOKUP($B19,'NF Diesel'!$B$5:$H$41,3,0),IF(VLOOKUP($B19-1,'NF Diesel'!$T$5:$Z$18,4,0)&gt;VLOOKUP($B18-1,'NF Diesel'!$T$5:$Z$18,3,0),VLOOKUP($B18,'NF Diesel'!$B$5:$H$41,7,0)/VLOOKUP($B18,'NF Diesel'!$B$5:$H$41,3,0),Tributos!C18)))</f>
        <v>#N/A</v>
      </c>
      <c r="D19" s="14" t="e">
        <f>IF(VLOOKUP($B19-1,'NF Óleo Comb'!$J$5:$P$5,7,0)="SIM",VLOOKUP($B19,'NF Óleo Comb'!$B$5:$H$51,6,0)/VLOOKUP($B19,'NF Óleo Comb'!$B$5:$H$51,3,0),IF(VLOOKUP($B19-1,'NF Óleo Comb'!$J$5:$P$5,4,0)&gt;VLOOKUP($B19-1,'NF Óleo Comb'!$J$5:$P$5,3,0),VLOOKUP($B19,'NF Óleo Comb'!$B$5:$H$51,6,0)/VLOOKUP($B19,'NF Óleo Comb'!$B$5:$H$51,3,0),IF(VLOOKUP($B19-1,'NF Óleo Comb'!$J$5:$P$5,4,0)&gt;VLOOKUP($B18-1,'NF Óleo Comb'!$J$5:$P$5,3,0),VLOOKUP($B18,'NF Óleo Comb'!$B$5:$H$51,6,0)/VLOOKUP($B18,'NF Óleo Comb'!$B$5:$H$51,3,0),Tributos!D18)))</f>
        <v>#N/A</v>
      </c>
      <c r="E19" s="14" t="e">
        <f>IF(VLOOKUP($B19-1,'NF Diesel'!$T$5:$Z$18,7,0)="SIM",VLOOKUP($B19,'NF Diesel'!$B$5:$H$41,6,0)/VLOOKUP($B19,'NF Diesel'!$B$5:$H$41,3,0),IF(VLOOKUP($B19-1,'NF Diesel'!$T$5:$Z$18,4,0)&gt;VLOOKUP($B19-1,'NF Diesel'!$T$5:$Z$18,3,0),VLOOKUP($B19,'NF Diesel'!$B$5:$H$41,6,0)/VLOOKUP($B19,'NF Diesel'!$B$5:$H$41,3,0),IF(VLOOKUP($B19-1,'NF Diesel'!$T$5:$Z$18,4,0)&gt;VLOOKUP($B18-1,'NF Diesel'!$T$5:$Z$18,3,0),VLOOKUP($B18,'NF Diesel'!$B$5:$H$41,6,0)/VLOOKUP($B18,'NF Diesel'!$B$5:$H$41,3,0),Tributos!E18)))</f>
        <v>#N/A</v>
      </c>
      <c r="F19" s="14" t="e">
        <f>IF(VLOOKUP($B19-1,'NF Óleo Comb'!$J$5:$P$5,7,0)="SIM",VLOOKUP($B19,'NF Óleo Comb'!$B$5:$H$51,5,0)/VLOOKUP($B19,'NF Óleo Comb'!$B$5:$H$51,3,0),IF(VLOOKUP($B19-1,'NF Óleo Comb'!$J$5:$P$5,4,0)&gt;VLOOKUP($B19-1,'NF Óleo Comb'!$J$5:$P$5,3,0),VLOOKUP($B19,'NF Óleo Comb'!$B$5:$H$51,5,0)/VLOOKUP($B19,'NF Óleo Comb'!$B$5:$H$51,3,0),IF(VLOOKUP($B19-1,'NF Óleo Comb'!$J$5:$P$5,4,0)&gt;VLOOKUP($B18-1,'NF Óleo Comb'!$J$5:$P$5,3,0),VLOOKUP($B18,'NF Óleo Comb'!$B$5:$H$51,5,0)/VLOOKUP($B18,'NF Óleo Comb'!$B$5:$H$51,3,0),Tributos!F18)))</f>
        <v>#N/A</v>
      </c>
      <c r="G19" s="32" t="e">
        <f>VLOOKUP(EOMONTH($B19,0),SCD!$B$6:$H$65,4,0)*1000</f>
        <v>#N/A</v>
      </c>
      <c r="H19" s="32" t="e">
        <f>VLOOKUP(EOMONTH($B19,0),SCD!$B$6:$H$65,5,0)*1000</f>
        <v>#N/A</v>
      </c>
      <c r="I19" s="19">
        <v>1</v>
      </c>
      <c r="J19" s="19">
        <v>1</v>
      </c>
      <c r="K19" s="19">
        <f>Parâmetros!$D$6</f>
        <v>1</v>
      </c>
      <c r="L19" s="15" t="e">
        <f t="shared" ref="L19" si="5">(C19*G19*(1-J19)+D19*H19*(1-J19)+E19*G19*(1-I19)+F19*H19*(1-I19))*K19</f>
        <v>#N/A</v>
      </c>
    </row>
  </sheetData>
  <mergeCells count="1">
    <mergeCell ref="B1:L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">
    <tabColor rgb="FF00B0F0"/>
  </sheetPr>
  <dimension ref="A2:Q39"/>
  <sheetViews>
    <sheetView showGridLines="0" tabSelected="1" zoomScale="90" zoomScaleNormal="90" workbookViewId="0">
      <selection activeCell="L8" sqref="L8"/>
    </sheetView>
  </sheetViews>
  <sheetFormatPr defaultRowHeight="14.5" x14ac:dyDescent="0.35"/>
  <cols>
    <col min="1" max="1" width="4.1796875" customWidth="1"/>
    <col min="2" max="2" width="14.81640625" customWidth="1"/>
    <col min="3" max="3" width="12.7265625" bestFit="1" customWidth="1"/>
    <col min="4" max="4" width="12.54296875" customWidth="1"/>
    <col min="5" max="5" width="15" customWidth="1"/>
    <col min="6" max="6" width="12.54296875" customWidth="1"/>
    <col min="7" max="7" width="10.54296875" bestFit="1" customWidth="1"/>
    <col min="8" max="8" width="17.1796875" bestFit="1" customWidth="1"/>
    <col min="9" max="9" width="12.6328125" bestFit="1" customWidth="1"/>
    <col min="11" max="11" width="19.1796875" customWidth="1"/>
    <col min="12" max="12" width="20.54296875" customWidth="1"/>
    <col min="13" max="13" width="15.81640625" bestFit="1" customWidth="1"/>
    <col min="14" max="14" width="17.1796875" bestFit="1" customWidth="1"/>
    <col min="15" max="15" width="19.54296875" bestFit="1" customWidth="1"/>
    <col min="16" max="16" width="18" bestFit="1" customWidth="1"/>
    <col min="17" max="17" width="36.1796875" style="39" bestFit="1" customWidth="1"/>
    <col min="18" max="18" width="15.453125" customWidth="1"/>
    <col min="19" max="19" width="14" bestFit="1" customWidth="1"/>
    <col min="21" max="21" width="12.54296875" bestFit="1" customWidth="1"/>
  </cols>
  <sheetData>
    <row r="2" spans="1:17" s="243" customFormat="1" ht="15" customHeight="1" x14ac:dyDescent="0.35">
      <c r="A2" s="301" t="s">
        <v>263</v>
      </c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</row>
    <row r="3" spans="1:17" ht="15" customHeight="1" x14ac:dyDescent="0.35"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</row>
    <row r="4" spans="1:17" ht="15" customHeight="1" x14ac:dyDescent="0.35"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</row>
    <row r="6" spans="1:17" s="3" customFormat="1" ht="43.5" customHeight="1" x14ac:dyDescent="0.35">
      <c r="B6" s="154" t="s">
        <v>108</v>
      </c>
      <c r="C6" s="72" t="s">
        <v>255</v>
      </c>
      <c r="D6" s="72" t="s">
        <v>6</v>
      </c>
      <c r="E6" s="72" t="s">
        <v>10</v>
      </c>
      <c r="F6" s="92" t="s">
        <v>9</v>
      </c>
      <c r="G6" s="72" t="s">
        <v>8</v>
      </c>
      <c r="H6" s="106" t="s">
        <v>11</v>
      </c>
      <c r="I6" s="72" t="s">
        <v>12</v>
      </c>
      <c r="K6" s="106" t="s">
        <v>14</v>
      </c>
      <c r="L6" s="72" t="s">
        <v>133</v>
      </c>
      <c r="M6" s="72" t="s">
        <v>15</v>
      </c>
      <c r="N6" s="106" t="s">
        <v>17</v>
      </c>
      <c r="O6" s="72" t="s">
        <v>16</v>
      </c>
      <c r="P6" s="111" t="s">
        <v>18</v>
      </c>
      <c r="Q6" s="40"/>
    </row>
    <row r="7" spans="1:17" ht="14.5" customHeight="1" x14ac:dyDescent="0.35">
      <c r="B7" s="98">
        <v>46023</v>
      </c>
      <c r="C7" s="107">
        <v>100000</v>
      </c>
      <c r="D7" s="108">
        <f>ROUND(Parâmetros!$D$6,6)</f>
        <v>1</v>
      </c>
      <c r="E7" s="107">
        <f>Parâmetros!$D$13+Parâmetros!$D$18-Parâmetros!$D$23</f>
        <v>0</v>
      </c>
      <c r="F7" s="107">
        <f>$C7*$D7-$E7</f>
        <v>100000</v>
      </c>
      <c r="G7" s="109">
        <f>'NF carvão'!$N$16</f>
        <v>137.26</v>
      </c>
      <c r="H7" s="109">
        <f t="shared" ref="H7:H8" si="0">F7*G7</f>
        <v>13726000</v>
      </c>
      <c r="I7" s="110"/>
      <c r="K7" s="109">
        <f t="shared" ref="K7:K10" si="1">H7</f>
        <v>13726000</v>
      </c>
      <c r="L7" s="109">
        <f>Secund!I8</f>
        <v>296082.78999999998</v>
      </c>
      <c r="M7" s="109">
        <f>Secund!S8</f>
        <v>144372.35999999999</v>
      </c>
      <c r="N7" s="109">
        <f t="shared" ref="N7:N18" si="2">ROUND(SUM(K7:M7),2)</f>
        <v>14166455.15</v>
      </c>
      <c r="O7" s="109">
        <f>Parâmetros!$D$25</f>
        <v>20894186.205000002</v>
      </c>
      <c r="P7" s="109">
        <f t="shared" ref="P7:P10" si="3">MIN(N7,O7)</f>
        <v>14166455.15</v>
      </c>
    </row>
    <row r="8" spans="1:17" ht="14.5" customHeight="1" x14ac:dyDescent="0.35">
      <c r="B8" s="98">
        <v>46054</v>
      </c>
      <c r="C8" s="107">
        <v>100000</v>
      </c>
      <c r="D8" s="108">
        <f>ROUND(Parâmetros!$D$6,6)</f>
        <v>1</v>
      </c>
      <c r="E8" s="107">
        <f>Parâmetros!$D$13+Parâmetros!$D$18-Parâmetros!$D$23</f>
        <v>0</v>
      </c>
      <c r="F8" s="107">
        <f t="shared" ref="F8:F18" si="4">$C8*$D8-$E8</f>
        <v>100000</v>
      </c>
      <c r="G8" s="109">
        <f>'NF carvão'!$N$16</f>
        <v>137.26</v>
      </c>
      <c r="H8" s="109">
        <f t="shared" si="0"/>
        <v>13726000</v>
      </c>
      <c r="I8" s="110"/>
      <c r="K8" s="109">
        <f t="shared" si="1"/>
        <v>13726000</v>
      </c>
      <c r="L8" s="109">
        <f>Secund!I9</f>
        <v>1493848.08</v>
      </c>
      <c r="M8" s="109">
        <f>Secund!S9</f>
        <v>85048.47</v>
      </c>
      <c r="N8" s="109">
        <f t="shared" si="2"/>
        <v>15304896.550000001</v>
      </c>
      <c r="O8" s="109">
        <f>Parâmetros!$D$25</f>
        <v>20894186.205000002</v>
      </c>
      <c r="P8" s="109">
        <f t="shared" si="3"/>
        <v>15304896.550000001</v>
      </c>
    </row>
    <row r="9" spans="1:17" ht="14.5" customHeight="1" x14ac:dyDescent="0.35">
      <c r="B9" s="98">
        <v>46082</v>
      </c>
      <c r="C9" s="107">
        <v>100000</v>
      </c>
      <c r="D9" s="108">
        <f>ROUND(Parâmetros!$D$6,6)</f>
        <v>1</v>
      </c>
      <c r="E9" s="107">
        <f>Parâmetros!$D$13+Parâmetros!$D$18-Parâmetros!$D$23</f>
        <v>0</v>
      </c>
      <c r="F9" s="107">
        <f t="shared" si="4"/>
        <v>100000</v>
      </c>
      <c r="G9" s="109">
        <f>'NF carvão'!$N$16</f>
        <v>137.26</v>
      </c>
      <c r="H9" s="109">
        <f t="shared" ref="H9:H16" si="5">F9*G9</f>
        <v>13726000</v>
      </c>
      <c r="I9" s="110"/>
      <c r="K9" s="109">
        <f t="shared" si="1"/>
        <v>13726000</v>
      </c>
      <c r="L9" s="109">
        <f>Secund!I23</f>
        <v>0</v>
      </c>
      <c r="M9" s="109">
        <f>Secund!S23</f>
        <v>0</v>
      </c>
      <c r="N9" s="109">
        <f t="shared" si="2"/>
        <v>13726000</v>
      </c>
      <c r="O9" s="109">
        <f>Parâmetros!$D$25</f>
        <v>20894186.205000002</v>
      </c>
      <c r="P9" s="109">
        <f t="shared" si="3"/>
        <v>13726000</v>
      </c>
    </row>
    <row r="10" spans="1:17" ht="14.5" customHeight="1" x14ac:dyDescent="0.35">
      <c r="B10" s="98">
        <v>46113</v>
      </c>
      <c r="C10" s="107">
        <v>100000</v>
      </c>
      <c r="D10" s="108">
        <f>ROUND(Parâmetros!$D$6,6)</f>
        <v>1</v>
      </c>
      <c r="E10" s="107">
        <f>Parâmetros!$D$13+Parâmetros!$D$18-Parâmetros!$D$23</f>
        <v>0</v>
      </c>
      <c r="F10" s="107">
        <f t="shared" si="4"/>
        <v>100000</v>
      </c>
      <c r="G10" s="109">
        <f>'NF carvão'!$N$16</f>
        <v>137.26</v>
      </c>
      <c r="H10" s="109">
        <f t="shared" si="5"/>
        <v>13726000</v>
      </c>
      <c r="I10" s="110"/>
      <c r="K10" s="109">
        <f t="shared" si="1"/>
        <v>13726000</v>
      </c>
      <c r="L10" s="109">
        <f>Secund!I11</f>
        <v>0</v>
      </c>
      <c r="M10" s="109">
        <f>Secund!S11</f>
        <v>0</v>
      </c>
      <c r="N10" s="109">
        <f t="shared" si="2"/>
        <v>13726000</v>
      </c>
      <c r="O10" s="109">
        <f>Parâmetros!$D$25</f>
        <v>20894186.205000002</v>
      </c>
      <c r="P10" s="109">
        <f t="shared" si="3"/>
        <v>13726000</v>
      </c>
    </row>
    <row r="11" spans="1:17" ht="14.5" customHeight="1" x14ac:dyDescent="0.35">
      <c r="B11" s="98">
        <v>46143</v>
      </c>
      <c r="C11" s="107">
        <v>100000</v>
      </c>
      <c r="D11" s="108">
        <f>ROUND(Parâmetros!$D$6,6)</f>
        <v>1</v>
      </c>
      <c r="E11" s="107">
        <f>Parâmetros!$D$13+Parâmetros!$D$18-Parâmetros!$D$23</f>
        <v>0</v>
      </c>
      <c r="F11" s="107">
        <f t="shared" si="4"/>
        <v>100000</v>
      </c>
      <c r="G11" s="109">
        <f>'NF carvão'!$N$16</f>
        <v>137.26</v>
      </c>
      <c r="H11" s="109">
        <f t="shared" si="5"/>
        <v>13726000</v>
      </c>
      <c r="I11" s="110"/>
      <c r="J11" s="219"/>
      <c r="K11" s="109">
        <f t="shared" ref="K11:K18" si="6">H11</f>
        <v>13726000</v>
      </c>
      <c r="L11" s="109">
        <f>Secund!I12</f>
        <v>0</v>
      </c>
      <c r="M11" s="109">
        <f>Secund!S12</f>
        <v>0</v>
      </c>
      <c r="N11" s="109">
        <f t="shared" si="2"/>
        <v>13726000</v>
      </c>
      <c r="O11" s="109">
        <f>Parâmetros!$D$25</f>
        <v>20894186.205000002</v>
      </c>
      <c r="P11" s="109">
        <f t="shared" ref="P11:P18" si="7">MIN(N11,O11)</f>
        <v>13726000</v>
      </c>
    </row>
    <row r="12" spans="1:17" ht="14.5" customHeight="1" x14ac:dyDescent="0.35">
      <c r="B12" s="98">
        <v>46174</v>
      </c>
      <c r="C12" s="107">
        <v>100000</v>
      </c>
      <c r="D12" s="108">
        <f>ROUND(Parâmetros!$D$6,6)</f>
        <v>1</v>
      </c>
      <c r="E12" s="107">
        <f>Parâmetros!$D$13+Parâmetros!$D$18-Parâmetros!$D$23</f>
        <v>0</v>
      </c>
      <c r="F12" s="107">
        <f t="shared" si="4"/>
        <v>100000</v>
      </c>
      <c r="G12" s="109">
        <f>'NF carvão'!$N$16</f>
        <v>137.26</v>
      </c>
      <c r="H12" s="109">
        <f t="shared" si="5"/>
        <v>13726000</v>
      </c>
      <c r="I12" s="110"/>
      <c r="K12" s="109">
        <f t="shared" si="6"/>
        <v>13726000</v>
      </c>
      <c r="L12" s="109">
        <f>Secund!I13</f>
        <v>0</v>
      </c>
      <c r="M12" s="109">
        <f>Secund!S13</f>
        <v>0</v>
      </c>
      <c r="N12" s="109">
        <f t="shared" si="2"/>
        <v>13726000</v>
      </c>
      <c r="O12" s="109">
        <f>Parâmetros!$D$25</f>
        <v>20894186.205000002</v>
      </c>
      <c r="P12" s="109">
        <f t="shared" si="7"/>
        <v>13726000</v>
      </c>
    </row>
    <row r="13" spans="1:17" ht="14.5" customHeight="1" x14ac:dyDescent="0.35">
      <c r="B13" s="98">
        <v>46204</v>
      </c>
      <c r="C13" s="107">
        <v>100000</v>
      </c>
      <c r="D13" s="108">
        <f>ROUND(Parâmetros!$D$6,6)</f>
        <v>1</v>
      </c>
      <c r="E13" s="107">
        <f>Parâmetros!$D$13+Parâmetros!$D$18-Parâmetros!$D$23</f>
        <v>0</v>
      </c>
      <c r="F13" s="107">
        <f t="shared" si="4"/>
        <v>100000</v>
      </c>
      <c r="G13" s="109">
        <f>'NF carvão'!$N$16</f>
        <v>137.26</v>
      </c>
      <c r="H13" s="109">
        <f t="shared" si="5"/>
        <v>13726000</v>
      </c>
      <c r="I13" s="110"/>
      <c r="K13" s="109">
        <f t="shared" si="6"/>
        <v>13726000</v>
      </c>
      <c r="L13" s="109">
        <f>Secund!I14</f>
        <v>0</v>
      </c>
      <c r="M13" s="109">
        <f>Secund!S14</f>
        <v>0</v>
      </c>
      <c r="N13" s="109">
        <f t="shared" si="2"/>
        <v>13726000</v>
      </c>
      <c r="O13" s="109">
        <f>Parâmetros!$D$25</f>
        <v>20894186.205000002</v>
      </c>
      <c r="P13" s="109">
        <f t="shared" si="7"/>
        <v>13726000</v>
      </c>
    </row>
    <row r="14" spans="1:17" ht="14.5" customHeight="1" x14ac:dyDescent="0.35">
      <c r="B14" s="98">
        <v>46235</v>
      </c>
      <c r="C14" s="107">
        <v>100000</v>
      </c>
      <c r="D14" s="108">
        <f>ROUND(Parâmetros!$D$6,6)</f>
        <v>1</v>
      </c>
      <c r="E14" s="107">
        <f>Parâmetros!$D$13+Parâmetros!$D$18-Parâmetros!$D$23</f>
        <v>0</v>
      </c>
      <c r="F14" s="107">
        <f t="shared" si="4"/>
        <v>100000</v>
      </c>
      <c r="G14" s="109">
        <f>'NF carvão'!$N$16</f>
        <v>137.26</v>
      </c>
      <c r="H14" s="109">
        <f t="shared" si="5"/>
        <v>13726000</v>
      </c>
      <c r="I14" s="110"/>
      <c r="K14" s="109">
        <f t="shared" si="6"/>
        <v>13726000</v>
      </c>
      <c r="L14" s="109">
        <f>Secund!I15</f>
        <v>0</v>
      </c>
      <c r="M14" s="109">
        <f>Secund!S15</f>
        <v>0</v>
      </c>
      <c r="N14" s="109">
        <f t="shared" si="2"/>
        <v>13726000</v>
      </c>
      <c r="O14" s="109">
        <f>Parâmetros!$D$25</f>
        <v>20894186.205000002</v>
      </c>
      <c r="P14" s="109">
        <f t="shared" si="7"/>
        <v>13726000</v>
      </c>
    </row>
    <row r="15" spans="1:17" ht="14.5" customHeight="1" x14ac:dyDescent="0.35">
      <c r="B15" s="98">
        <v>46266</v>
      </c>
      <c r="C15" s="107">
        <v>100000</v>
      </c>
      <c r="D15" s="108">
        <f>ROUND(Parâmetros!$D$6,6)</f>
        <v>1</v>
      </c>
      <c r="E15" s="107">
        <f>Parâmetros!$D$13+Parâmetros!$D$18-Parâmetros!$D$23</f>
        <v>0</v>
      </c>
      <c r="F15" s="107">
        <f t="shared" si="4"/>
        <v>100000</v>
      </c>
      <c r="G15" s="109">
        <f>'NF carvão'!$N$16</f>
        <v>137.26</v>
      </c>
      <c r="H15" s="109">
        <f t="shared" si="5"/>
        <v>13726000</v>
      </c>
      <c r="I15" s="110"/>
      <c r="K15" s="109">
        <f t="shared" si="6"/>
        <v>13726000</v>
      </c>
      <c r="L15" s="109">
        <f>Secund!I16</f>
        <v>0</v>
      </c>
      <c r="M15" s="109">
        <f>Secund!S16</f>
        <v>0</v>
      </c>
      <c r="N15" s="109">
        <f t="shared" si="2"/>
        <v>13726000</v>
      </c>
      <c r="O15" s="109">
        <f>Parâmetros!$D$25</f>
        <v>20894186.205000002</v>
      </c>
      <c r="P15" s="109">
        <f t="shared" si="7"/>
        <v>13726000</v>
      </c>
    </row>
    <row r="16" spans="1:17" ht="14.5" customHeight="1" x14ac:dyDescent="0.35">
      <c r="B16" s="98">
        <v>46296</v>
      </c>
      <c r="C16" s="107">
        <v>100000</v>
      </c>
      <c r="D16" s="108">
        <f>ROUND(Parâmetros!$D$6,6)</f>
        <v>1</v>
      </c>
      <c r="E16" s="107">
        <f>Parâmetros!$D$13+Parâmetros!$D$18-Parâmetros!$D$23</f>
        <v>0</v>
      </c>
      <c r="F16" s="107">
        <f t="shared" si="4"/>
        <v>100000</v>
      </c>
      <c r="G16" s="109">
        <f>'NF carvão'!$N$16</f>
        <v>137.26</v>
      </c>
      <c r="H16" s="109">
        <f t="shared" si="5"/>
        <v>13726000</v>
      </c>
      <c r="I16" s="110"/>
      <c r="J16" s="219"/>
      <c r="K16" s="109">
        <f t="shared" si="6"/>
        <v>13726000</v>
      </c>
      <c r="L16" s="109">
        <f>Secund!I17</f>
        <v>0</v>
      </c>
      <c r="M16" s="109">
        <f>Secund!S17</f>
        <v>0</v>
      </c>
      <c r="N16" s="109">
        <f t="shared" si="2"/>
        <v>13726000</v>
      </c>
      <c r="O16" s="109">
        <f>Parâmetros!$D$25</f>
        <v>20894186.205000002</v>
      </c>
      <c r="P16" s="109">
        <f t="shared" si="7"/>
        <v>13726000</v>
      </c>
    </row>
    <row r="17" spans="2:16" ht="14.5" customHeight="1" x14ac:dyDescent="0.35">
      <c r="B17" s="98">
        <v>46327</v>
      </c>
      <c r="C17" s="107">
        <v>100000</v>
      </c>
      <c r="D17" s="108">
        <f>ROUND(Parâmetros!$D$6,6)</f>
        <v>1</v>
      </c>
      <c r="E17" s="107">
        <f>Parâmetros!$D$13+Parâmetros!$D$18-Parâmetros!$D$23</f>
        <v>0</v>
      </c>
      <c r="F17" s="107">
        <f t="shared" si="4"/>
        <v>100000</v>
      </c>
      <c r="G17" s="109">
        <f>'NF carvão'!$N$16</f>
        <v>137.26</v>
      </c>
      <c r="H17" s="109">
        <f t="shared" ref="H17:H18" si="8">F17*G17</f>
        <v>13726000</v>
      </c>
      <c r="I17" s="110"/>
      <c r="J17" s="219"/>
      <c r="K17" s="109">
        <f t="shared" si="6"/>
        <v>13726000</v>
      </c>
      <c r="L17" s="109">
        <f>Secund!I18</f>
        <v>0</v>
      </c>
      <c r="M17" s="109">
        <f>Secund!S18</f>
        <v>0</v>
      </c>
      <c r="N17" s="109">
        <f t="shared" si="2"/>
        <v>13726000</v>
      </c>
      <c r="O17" s="109">
        <f>Parâmetros!$D$25</f>
        <v>20894186.205000002</v>
      </c>
      <c r="P17" s="109">
        <f t="shared" si="7"/>
        <v>13726000</v>
      </c>
    </row>
    <row r="18" spans="2:16" ht="14.5" customHeight="1" x14ac:dyDescent="0.35">
      <c r="B18" s="98">
        <v>46357</v>
      </c>
      <c r="C18" s="107">
        <v>100000</v>
      </c>
      <c r="D18" s="108">
        <f>ROUND(Parâmetros!$D$6,6)</f>
        <v>1</v>
      </c>
      <c r="E18" s="107">
        <f>Parâmetros!$D$13+Parâmetros!$D$18-Parâmetros!$D$23</f>
        <v>0</v>
      </c>
      <c r="F18" s="107">
        <f t="shared" si="4"/>
        <v>100000</v>
      </c>
      <c r="G18" s="109">
        <f>'NF carvão'!$N$16</f>
        <v>137.26</v>
      </c>
      <c r="H18" s="109">
        <f t="shared" si="8"/>
        <v>13726000</v>
      </c>
      <c r="I18" s="110"/>
      <c r="J18" s="219"/>
      <c r="K18" s="109">
        <f t="shared" si="6"/>
        <v>13726000</v>
      </c>
      <c r="L18" s="109">
        <f>Secund!I19</f>
        <v>0</v>
      </c>
      <c r="M18" s="109">
        <f>Secund!S19</f>
        <v>0</v>
      </c>
      <c r="N18" s="109">
        <f t="shared" si="2"/>
        <v>13726000</v>
      </c>
      <c r="O18" s="109">
        <f>Parâmetros!$D$25</f>
        <v>20894186.205000002</v>
      </c>
      <c r="P18" s="109">
        <f t="shared" si="7"/>
        <v>13726000</v>
      </c>
    </row>
    <row r="19" spans="2:16" ht="14.5" customHeight="1" x14ac:dyDescent="0.35">
      <c r="B19" s="12"/>
      <c r="D19" s="63"/>
      <c r="J19" s="220"/>
      <c r="K19" s="11"/>
      <c r="L19" s="11"/>
      <c r="M19" s="65"/>
    </row>
    <row r="20" spans="2:16" ht="14.5" customHeight="1" x14ac:dyDescent="0.35">
      <c r="B20" s="12"/>
      <c r="D20" s="63"/>
      <c r="J20" s="220"/>
      <c r="K20" s="11"/>
      <c r="L20" s="11"/>
      <c r="M20" s="65"/>
    </row>
    <row r="21" spans="2:16" ht="14.5" customHeight="1" x14ac:dyDescent="0.35">
      <c r="B21" s="12" t="s">
        <v>216</v>
      </c>
      <c r="D21" s="63"/>
      <c r="J21" s="219"/>
      <c r="K21" s="11"/>
      <c r="L21" s="298"/>
      <c r="M21" s="298"/>
    </row>
    <row r="22" spans="2:16" ht="14.5" customHeight="1" x14ac:dyDescent="0.35">
      <c r="B22" s="35" t="s">
        <v>217</v>
      </c>
      <c r="D22" s="63"/>
      <c r="J22" s="219"/>
      <c r="K22" s="298"/>
      <c r="L22" s="298"/>
      <c r="M22" s="65"/>
    </row>
    <row r="23" spans="2:16" ht="14.5" customHeight="1" x14ac:dyDescent="0.35">
      <c r="B23" s="12" t="s">
        <v>218</v>
      </c>
      <c r="D23" s="63"/>
      <c r="M23" s="65"/>
    </row>
    <row r="24" spans="2:16" ht="14.5" customHeight="1" x14ac:dyDescent="0.35">
      <c r="D24" s="63"/>
    </row>
    <row r="25" spans="2:16" ht="14.5" customHeight="1" x14ac:dyDescent="0.35">
      <c r="B25" s="266" t="s">
        <v>256</v>
      </c>
      <c r="K25" s="11"/>
      <c r="L25" s="11"/>
      <c r="M25" s="11"/>
    </row>
    <row r="27" spans="2:16" x14ac:dyDescent="0.35">
      <c r="D27" s="289"/>
      <c r="E27" s="292"/>
      <c r="F27" s="289"/>
      <c r="G27" s="289"/>
      <c r="H27" s="289"/>
      <c r="I27" s="289"/>
      <c r="J27" s="289"/>
      <c r="K27" s="289"/>
    </row>
    <row r="28" spans="2:16" x14ac:dyDescent="0.35">
      <c r="D28" s="289"/>
      <c r="E28" s="293"/>
      <c r="F28" s="289"/>
      <c r="G28" s="289"/>
      <c r="H28" s="294"/>
      <c r="I28" s="292"/>
      <c r="J28" s="289"/>
      <c r="K28" s="292"/>
    </row>
    <row r="29" spans="2:16" x14ac:dyDescent="0.35">
      <c r="D29" s="289"/>
      <c r="E29" s="289"/>
      <c r="F29" s="289"/>
      <c r="G29" s="289"/>
      <c r="H29" s="294"/>
      <c r="I29" s="289"/>
      <c r="J29" s="289"/>
      <c r="K29" s="289"/>
    </row>
    <row r="30" spans="2:16" ht="14.5" customHeight="1" x14ac:dyDescent="0.35">
      <c r="D30" s="289"/>
      <c r="E30" s="289"/>
      <c r="F30" s="289"/>
      <c r="G30" s="289"/>
      <c r="H30" s="294"/>
      <c r="I30" s="292"/>
      <c r="J30" s="289"/>
      <c r="K30" s="295"/>
      <c r="L30" s="226"/>
    </row>
    <row r="31" spans="2:16" ht="14.5" customHeight="1" x14ac:dyDescent="0.35">
      <c r="D31" s="289"/>
      <c r="E31" s="289"/>
      <c r="F31" s="289"/>
      <c r="G31" s="289"/>
      <c r="H31" s="294"/>
      <c r="I31" s="292"/>
      <c r="J31" s="289"/>
      <c r="K31" s="295"/>
      <c r="L31" s="226"/>
      <c r="M31" s="217"/>
    </row>
    <row r="32" spans="2:16" ht="14.5" customHeight="1" x14ac:dyDescent="0.35">
      <c r="D32" s="289"/>
      <c r="E32" s="289"/>
      <c r="F32" s="289"/>
      <c r="G32" s="289"/>
      <c r="H32" s="294"/>
      <c r="I32" s="292"/>
      <c r="J32" s="296"/>
      <c r="K32" s="294"/>
      <c r="L32" s="11"/>
      <c r="M32" s="65"/>
    </row>
    <row r="33" spans="4:13" ht="14.5" customHeight="1" x14ac:dyDescent="0.35">
      <c r="D33" s="289"/>
      <c r="E33" s="289"/>
      <c r="F33" s="289"/>
      <c r="G33" s="289"/>
      <c r="H33" s="294"/>
      <c r="I33" s="293"/>
      <c r="J33" s="296"/>
      <c r="K33" s="294"/>
      <c r="L33" s="11"/>
      <c r="M33" s="65"/>
    </row>
    <row r="34" spans="4:13" ht="14.5" customHeight="1" x14ac:dyDescent="0.35">
      <c r="D34" s="289"/>
      <c r="E34" s="289"/>
      <c r="F34" s="289"/>
      <c r="G34" s="289"/>
      <c r="H34" s="289"/>
      <c r="I34" s="289"/>
      <c r="J34" s="296"/>
      <c r="K34" s="294"/>
      <c r="L34" s="11"/>
      <c r="M34" s="65"/>
    </row>
    <row r="35" spans="4:13" ht="14.5" customHeight="1" x14ac:dyDescent="0.35">
      <c r="D35" s="289"/>
      <c r="E35" s="289"/>
      <c r="F35" s="289"/>
      <c r="G35" s="289"/>
      <c r="H35" s="289"/>
      <c r="I35" s="293"/>
      <c r="J35" s="296"/>
      <c r="K35" s="294"/>
      <c r="L35" s="11"/>
      <c r="M35" s="65"/>
    </row>
    <row r="36" spans="4:13" ht="14.5" customHeight="1" x14ac:dyDescent="0.35">
      <c r="D36" s="289"/>
      <c r="E36" s="289"/>
      <c r="F36" s="289"/>
      <c r="G36" s="289"/>
      <c r="H36" s="289"/>
      <c r="I36" s="289"/>
      <c r="J36" s="297"/>
      <c r="K36" s="294"/>
      <c r="L36" s="11"/>
      <c r="M36" s="65"/>
    </row>
    <row r="37" spans="4:13" ht="14.5" customHeight="1" x14ac:dyDescent="0.35">
      <c r="D37" s="289"/>
      <c r="E37" s="289"/>
      <c r="F37" s="289"/>
      <c r="G37" s="289"/>
      <c r="H37" s="289"/>
      <c r="I37" s="289"/>
      <c r="J37" s="296"/>
      <c r="K37" s="294"/>
      <c r="L37" s="11"/>
      <c r="M37" s="65"/>
    </row>
    <row r="38" spans="4:13" ht="14.5" customHeight="1" x14ac:dyDescent="0.35">
      <c r="J38" s="219"/>
      <c r="K38" s="11"/>
      <c r="L38" s="11"/>
      <c r="M38" s="65"/>
    </row>
    <row r="39" spans="4:13" ht="14.5" customHeight="1" x14ac:dyDescent="0.35">
      <c r="M39" s="65"/>
    </row>
  </sheetData>
  <mergeCells count="1">
    <mergeCell ref="A2:P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/>
  <dimension ref="B1:S80"/>
  <sheetViews>
    <sheetView showGridLines="0" topLeftCell="A4" zoomScale="85" zoomScaleNormal="85" workbookViewId="0">
      <selection activeCell="G16" sqref="G16"/>
    </sheetView>
  </sheetViews>
  <sheetFormatPr defaultRowHeight="14.5" x14ac:dyDescent="0.35"/>
  <cols>
    <col min="1" max="1" width="3" customWidth="1"/>
    <col min="2" max="2" width="11.1796875" bestFit="1" customWidth="1"/>
    <col min="3" max="3" width="11.1796875" customWidth="1"/>
    <col min="4" max="4" width="12.54296875" bestFit="1" customWidth="1"/>
    <col min="5" max="5" width="17.36328125" bestFit="1" customWidth="1"/>
    <col min="6" max="6" width="17.81640625" customWidth="1"/>
    <col min="7" max="7" width="17.1796875" bestFit="1" customWidth="1"/>
    <col min="8" max="8" width="20.26953125" customWidth="1"/>
    <col min="9" max="9" width="22.453125" bestFit="1" customWidth="1"/>
    <col min="10" max="11" width="19" customWidth="1"/>
    <col min="12" max="12" width="13.1796875" customWidth="1"/>
    <col min="13" max="16" width="15.7265625" customWidth="1"/>
    <col min="17" max="17" width="15.26953125" bestFit="1" customWidth="1"/>
    <col min="18" max="19" width="15.7265625" customWidth="1"/>
  </cols>
  <sheetData>
    <row r="1" spans="2:19" x14ac:dyDescent="0.35">
      <c r="B1" s="314" t="s">
        <v>264</v>
      </c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</row>
    <row r="2" spans="2:19" x14ac:dyDescent="0.35"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</row>
    <row r="3" spans="2:19" x14ac:dyDescent="0.35"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</row>
    <row r="4" spans="2:19" x14ac:dyDescent="0.35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</row>
    <row r="6" spans="2:19" s="9" customFormat="1" ht="30.75" customHeight="1" x14ac:dyDescent="0.35">
      <c r="B6" s="303" t="s">
        <v>70</v>
      </c>
      <c r="C6" s="303"/>
      <c r="D6" s="303"/>
      <c r="E6" s="303"/>
      <c r="F6" s="313" t="s">
        <v>101</v>
      </c>
      <c r="G6" s="313"/>
      <c r="I6" s="155" t="s">
        <v>114</v>
      </c>
      <c r="J6" s="155" t="s">
        <v>64</v>
      </c>
      <c r="K6" s="155" t="s">
        <v>204</v>
      </c>
      <c r="L6" s="155" t="s">
        <v>207</v>
      </c>
      <c r="M6" s="155" t="s">
        <v>241</v>
      </c>
      <c r="N6" s="155" t="s">
        <v>189</v>
      </c>
    </row>
    <row r="7" spans="2:19" ht="15" customHeight="1" x14ac:dyDescent="0.35">
      <c r="B7" s="154" t="s">
        <v>64</v>
      </c>
      <c r="C7" s="154" t="s">
        <v>100</v>
      </c>
      <c r="D7" s="154" t="s">
        <v>66</v>
      </c>
      <c r="E7" s="154" t="s">
        <v>67</v>
      </c>
      <c r="F7" s="155" t="s">
        <v>65</v>
      </c>
      <c r="G7" s="74" t="s">
        <v>68</v>
      </c>
      <c r="I7" s="112" t="s">
        <v>179</v>
      </c>
      <c r="J7" s="112" t="s">
        <v>180</v>
      </c>
      <c r="K7" s="112" t="s">
        <v>205</v>
      </c>
      <c r="L7" s="112">
        <f>80.36+6.73</f>
        <v>87.09</v>
      </c>
      <c r="M7" s="118" t="s">
        <v>208</v>
      </c>
      <c r="N7" s="119">
        <f>1200000/12</f>
        <v>100000</v>
      </c>
      <c r="O7" s="67"/>
    </row>
    <row r="8" spans="2:19" ht="15" customHeight="1" x14ac:dyDescent="0.35">
      <c r="B8" s="112" t="s">
        <v>247</v>
      </c>
      <c r="C8" s="113">
        <v>46087</v>
      </c>
      <c r="D8" s="114">
        <v>14160</v>
      </c>
      <c r="E8" s="76">
        <v>100000</v>
      </c>
      <c r="F8" s="11">
        <v>126.52</v>
      </c>
      <c r="G8" s="81">
        <f>F8*E8</f>
        <v>12652000</v>
      </c>
      <c r="I8" s="112" t="s">
        <v>179</v>
      </c>
      <c r="J8" s="112" t="s">
        <v>180</v>
      </c>
      <c r="K8" s="112" t="s">
        <v>210</v>
      </c>
      <c r="L8" s="112">
        <f>80.36+6.73</f>
        <v>87.09</v>
      </c>
      <c r="M8" s="118">
        <v>112.16</v>
      </c>
      <c r="N8" s="119">
        <f>1200000/12</f>
        <v>100000</v>
      </c>
      <c r="O8" s="8"/>
      <c r="P8" s="5"/>
      <c r="Q8" s="5"/>
    </row>
    <row r="9" spans="2:19" ht="15" customHeight="1" x14ac:dyDescent="0.35">
      <c r="B9" s="112" t="s">
        <v>247</v>
      </c>
      <c r="C9" s="113">
        <v>46087</v>
      </c>
      <c r="D9" s="114">
        <v>794</v>
      </c>
      <c r="E9" s="76">
        <v>100000</v>
      </c>
      <c r="F9" s="76">
        <v>10.74</v>
      </c>
      <c r="G9" s="81">
        <f>F9*E9</f>
        <v>1074000</v>
      </c>
      <c r="I9" s="112" t="s">
        <v>179</v>
      </c>
      <c r="J9" s="112" t="s">
        <v>180</v>
      </c>
      <c r="K9" s="112" t="s">
        <v>213</v>
      </c>
      <c r="L9" s="112">
        <v>112.16</v>
      </c>
      <c r="M9" s="118">
        <v>130.01</v>
      </c>
      <c r="N9" s="119">
        <f>1200000/12</f>
        <v>100000</v>
      </c>
      <c r="O9" s="66"/>
    </row>
    <row r="10" spans="2:19" ht="15" customHeight="1" x14ac:dyDescent="0.35">
      <c r="B10" s="312" t="s">
        <v>69</v>
      </c>
      <c r="C10" s="312"/>
      <c r="D10" s="312"/>
      <c r="E10" s="116"/>
      <c r="F10" s="117">
        <f>SUM(F8:F9)</f>
        <v>137.26</v>
      </c>
      <c r="G10" s="228">
        <f>SUM(G8:G9)</f>
        <v>13726000</v>
      </c>
      <c r="I10" s="112" t="s">
        <v>179</v>
      </c>
      <c r="J10" s="112" t="s">
        <v>180</v>
      </c>
      <c r="K10" s="112" t="s">
        <v>219</v>
      </c>
      <c r="L10" s="118">
        <v>130.01</v>
      </c>
      <c r="M10" s="118">
        <v>130.44</v>
      </c>
      <c r="N10" s="119">
        <f>1200000/12</f>
        <v>100000</v>
      </c>
      <c r="O10" s="66"/>
    </row>
    <row r="11" spans="2:19" ht="15" customHeight="1" x14ac:dyDescent="0.35">
      <c r="I11" s="120" t="s">
        <v>202</v>
      </c>
      <c r="J11" s="120" t="s">
        <v>203</v>
      </c>
      <c r="K11" s="120" t="s">
        <v>206</v>
      </c>
      <c r="L11" s="120">
        <v>78.52</v>
      </c>
      <c r="M11" s="121" t="s">
        <v>208</v>
      </c>
      <c r="N11" s="122">
        <f>10000/12</f>
        <v>833.33333333333337</v>
      </c>
      <c r="O11" s="8"/>
    </row>
    <row r="12" spans="2:19" ht="15" customHeight="1" x14ac:dyDescent="0.35">
      <c r="B12" s="303" t="s">
        <v>70</v>
      </c>
      <c r="C12" s="303"/>
      <c r="D12" s="303"/>
      <c r="E12" s="303"/>
      <c r="F12" s="313" t="s">
        <v>102</v>
      </c>
      <c r="G12" s="313"/>
      <c r="I12" s="120"/>
      <c r="J12" s="120" t="s">
        <v>203</v>
      </c>
      <c r="K12" s="120" t="s">
        <v>211</v>
      </c>
      <c r="L12" s="120">
        <v>87.87</v>
      </c>
      <c r="M12" s="121"/>
      <c r="N12" s="122">
        <f>10000/12</f>
        <v>833.33333333333337</v>
      </c>
      <c r="O12" s="8"/>
    </row>
    <row r="13" spans="2:19" ht="15" customHeight="1" x14ac:dyDescent="0.35">
      <c r="B13" s="154" t="s">
        <v>64</v>
      </c>
      <c r="C13" s="154" t="s">
        <v>100</v>
      </c>
      <c r="D13" s="154" t="s">
        <v>66</v>
      </c>
      <c r="E13" s="154" t="s">
        <v>67</v>
      </c>
      <c r="F13" s="155" t="s">
        <v>65</v>
      </c>
      <c r="G13" s="74" t="s">
        <v>68</v>
      </c>
      <c r="I13" s="112" t="s">
        <v>240</v>
      </c>
      <c r="J13" s="112" t="s">
        <v>180</v>
      </c>
      <c r="K13" s="112" t="s">
        <v>242</v>
      </c>
      <c r="L13" s="118">
        <v>130.44</v>
      </c>
      <c r="M13" s="118">
        <v>127.51</v>
      </c>
      <c r="N13" s="119">
        <f>1200000/12</f>
        <v>100000</v>
      </c>
    </row>
    <row r="14" spans="2:19" ht="15" customHeight="1" x14ac:dyDescent="0.35">
      <c r="B14" s="112" t="s">
        <v>247</v>
      </c>
      <c r="C14" s="113">
        <v>46059</v>
      </c>
      <c r="D14" s="114">
        <v>14168</v>
      </c>
      <c r="E14" s="76">
        <v>100000</v>
      </c>
      <c r="F14" s="11">
        <v>126.52</v>
      </c>
      <c r="G14" s="81">
        <f>F14*E14</f>
        <v>12652000</v>
      </c>
      <c r="I14" s="112" t="s">
        <v>240</v>
      </c>
      <c r="J14" s="112" t="s">
        <v>180</v>
      </c>
      <c r="K14" s="112" t="s">
        <v>246</v>
      </c>
      <c r="L14" s="118">
        <v>127.51</v>
      </c>
      <c r="M14" s="118">
        <v>127.51</v>
      </c>
      <c r="N14" s="119">
        <f>1200000/12</f>
        <v>100000</v>
      </c>
    </row>
    <row r="15" spans="2:19" ht="15" customHeight="1" x14ac:dyDescent="0.35">
      <c r="B15" s="112" t="s">
        <v>247</v>
      </c>
      <c r="C15" s="113">
        <v>46059</v>
      </c>
      <c r="D15" s="114">
        <v>801</v>
      </c>
      <c r="E15" s="76">
        <v>100000</v>
      </c>
      <c r="F15" s="76">
        <v>10.74</v>
      </c>
      <c r="G15" s="81">
        <f>F15*E15</f>
        <v>1074000</v>
      </c>
      <c r="I15" s="112" t="s">
        <v>240</v>
      </c>
      <c r="J15" s="112" t="s">
        <v>180</v>
      </c>
      <c r="K15" s="112" t="s">
        <v>248</v>
      </c>
      <c r="L15" s="118">
        <v>127.51</v>
      </c>
      <c r="M15" s="118">
        <v>137.26</v>
      </c>
      <c r="N15" s="119">
        <f>1200000/12</f>
        <v>100000</v>
      </c>
    </row>
    <row r="16" spans="2:19" ht="15" customHeight="1" x14ac:dyDescent="0.35">
      <c r="B16" s="312" t="s">
        <v>69</v>
      </c>
      <c r="C16" s="312"/>
      <c r="D16" s="312"/>
      <c r="E16" s="116"/>
      <c r="F16" s="117">
        <f t="shared" ref="F16:G16" si="0">SUM(F14:F15)</f>
        <v>137.26</v>
      </c>
      <c r="G16" s="228">
        <f t="shared" si="0"/>
        <v>13726000</v>
      </c>
      <c r="I16" s="123" t="s">
        <v>115</v>
      </c>
      <c r="J16" s="164"/>
      <c r="K16" s="165"/>
      <c r="L16" s="165"/>
      <c r="M16" s="166"/>
      <c r="N16" s="124">
        <f>M15</f>
        <v>137.26</v>
      </c>
    </row>
    <row r="17" spans="2:14" ht="15" customHeight="1" x14ac:dyDescent="0.35">
      <c r="I17" s="12" t="s">
        <v>254</v>
      </c>
      <c r="J17" s="8"/>
      <c r="K17" s="8"/>
      <c r="L17" s="8"/>
      <c r="M17" s="8"/>
      <c r="N17" s="62"/>
    </row>
    <row r="18" spans="2:14" ht="15" customHeight="1" x14ac:dyDescent="0.35">
      <c r="B18" s="303" t="s">
        <v>70</v>
      </c>
      <c r="C18" s="303"/>
      <c r="D18" s="303"/>
      <c r="E18" s="303"/>
      <c r="F18" s="313" t="s">
        <v>134</v>
      </c>
      <c r="G18" s="313"/>
    </row>
    <row r="19" spans="2:14" ht="15" customHeight="1" x14ac:dyDescent="0.35">
      <c r="B19" s="154" t="s">
        <v>64</v>
      </c>
      <c r="C19" s="154" t="s">
        <v>100</v>
      </c>
      <c r="D19" s="154" t="s">
        <v>66</v>
      </c>
      <c r="E19" s="154" t="s">
        <v>67</v>
      </c>
      <c r="F19" s="155" t="s">
        <v>65</v>
      </c>
      <c r="G19" s="74" t="s">
        <v>68</v>
      </c>
    </row>
    <row r="20" spans="2:14" ht="15" customHeight="1" x14ac:dyDescent="0.35">
      <c r="B20" s="112"/>
      <c r="C20" s="113"/>
      <c r="D20" s="114"/>
      <c r="E20" s="76"/>
      <c r="F20" s="11"/>
      <c r="G20" s="81"/>
    </row>
    <row r="21" spans="2:14" ht="15" customHeight="1" x14ac:dyDescent="0.35">
      <c r="B21" s="112"/>
      <c r="C21" s="113"/>
      <c r="D21" s="114"/>
      <c r="E21" s="76"/>
      <c r="F21" s="76"/>
      <c r="G21" s="81"/>
    </row>
    <row r="22" spans="2:14" ht="15" customHeight="1" x14ac:dyDescent="0.35">
      <c r="B22" s="312" t="s">
        <v>69</v>
      </c>
      <c r="C22" s="312"/>
      <c r="D22" s="312"/>
      <c r="E22" s="116"/>
      <c r="F22" s="117">
        <f t="shared" ref="F22:G22" si="1">SUM(F20:F21)</f>
        <v>0</v>
      </c>
      <c r="G22" s="228">
        <f t="shared" si="1"/>
        <v>0</v>
      </c>
    </row>
    <row r="23" spans="2:14" ht="15" customHeight="1" x14ac:dyDescent="0.35"/>
    <row r="24" spans="2:14" ht="15" customHeight="1" x14ac:dyDescent="0.35">
      <c r="B24" s="303" t="s">
        <v>70</v>
      </c>
      <c r="C24" s="303"/>
      <c r="D24" s="303"/>
      <c r="E24" s="303"/>
      <c r="F24" s="313" t="s">
        <v>193</v>
      </c>
      <c r="G24" s="313"/>
    </row>
    <row r="25" spans="2:14" ht="15" customHeight="1" x14ac:dyDescent="0.35">
      <c r="B25" s="154" t="s">
        <v>64</v>
      </c>
      <c r="C25" s="154" t="s">
        <v>100</v>
      </c>
      <c r="D25" s="154" t="s">
        <v>66</v>
      </c>
      <c r="E25" s="154" t="s">
        <v>67</v>
      </c>
      <c r="F25" s="155" t="s">
        <v>65</v>
      </c>
      <c r="G25" s="74" t="s">
        <v>68</v>
      </c>
    </row>
    <row r="26" spans="2:14" ht="15" customHeight="1" x14ac:dyDescent="0.35">
      <c r="B26" s="112"/>
      <c r="C26" s="113"/>
      <c r="D26" s="114"/>
      <c r="E26" s="76"/>
      <c r="F26" s="11"/>
      <c r="G26" s="81"/>
    </row>
    <row r="27" spans="2:14" ht="15" customHeight="1" x14ac:dyDescent="0.35">
      <c r="B27" s="112"/>
      <c r="C27" s="113"/>
      <c r="D27" s="114"/>
      <c r="E27" s="76"/>
      <c r="F27" s="76"/>
      <c r="G27" s="81"/>
      <c r="I27" s="65"/>
    </row>
    <row r="28" spans="2:14" ht="15" customHeight="1" x14ac:dyDescent="0.35">
      <c r="B28" s="312" t="s">
        <v>69</v>
      </c>
      <c r="C28" s="312"/>
      <c r="D28" s="312"/>
      <c r="E28" s="116"/>
      <c r="F28" s="117">
        <f t="shared" ref="F28:G28" si="2">SUM(F26:F27)</f>
        <v>0</v>
      </c>
      <c r="G28" s="228">
        <f t="shared" si="2"/>
        <v>0</v>
      </c>
    </row>
    <row r="29" spans="2:14" ht="15" customHeight="1" x14ac:dyDescent="0.35">
      <c r="K29" s="65"/>
    </row>
    <row r="30" spans="2:14" ht="15" customHeight="1" x14ac:dyDescent="0.35">
      <c r="B30" s="303" t="s">
        <v>70</v>
      </c>
      <c r="C30" s="303"/>
      <c r="D30" s="303"/>
      <c r="E30" s="303"/>
      <c r="F30" s="313" t="s">
        <v>194</v>
      </c>
      <c r="G30" s="313"/>
      <c r="H30" s="69"/>
      <c r="I30" s="11"/>
    </row>
    <row r="31" spans="2:14" ht="15" customHeight="1" x14ac:dyDescent="0.35">
      <c r="B31" s="154" t="s">
        <v>64</v>
      </c>
      <c r="C31" s="154" t="s">
        <v>100</v>
      </c>
      <c r="D31" s="154" t="s">
        <v>66</v>
      </c>
      <c r="E31" s="154" t="s">
        <v>67</v>
      </c>
      <c r="F31" s="155" t="s">
        <v>65</v>
      </c>
      <c r="G31" s="74" t="s">
        <v>68</v>
      </c>
      <c r="I31" s="65"/>
      <c r="J31" s="65"/>
      <c r="K31" s="69"/>
    </row>
    <row r="32" spans="2:14" ht="15" customHeight="1" x14ac:dyDescent="0.35">
      <c r="B32" s="112"/>
      <c r="C32" s="113"/>
      <c r="D32" s="114"/>
      <c r="E32" s="76"/>
      <c r="F32" s="11"/>
      <c r="G32" s="81"/>
      <c r="K32" s="65"/>
    </row>
    <row r="33" spans="2:7" ht="15" customHeight="1" x14ac:dyDescent="0.35">
      <c r="B33" s="112"/>
      <c r="C33" s="113"/>
      <c r="D33" s="114"/>
      <c r="E33" s="76"/>
      <c r="F33" s="76"/>
      <c r="G33" s="81"/>
    </row>
    <row r="34" spans="2:7" ht="15" customHeight="1" x14ac:dyDescent="0.35">
      <c r="B34" s="312" t="s">
        <v>69</v>
      </c>
      <c r="C34" s="312"/>
      <c r="D34" s="312"/>
      <c r="E34" s="116"/>
      <c r="F34" s="117">
        <f t="shared" ref="F34:G34" si="3">SUM(F32:F33)</f>
        <v>0</v>
      </c>
      <c r="G34" s="228">
        <f t="shared" si="3"/>
        <v>0</v>
      </c>
    </row>
    <row r="35" spans="2:7" ht="15" customHeight="1" x14ac:dyDescent="0.35"/>
    <row r="36" spans="2:7" ht="15" customHeight="1" x14ac:dyDescent="0.35">
      <c r="B36" s="303" t="s">
        <v>70</v>
      </c>
      <c r="C36" s="303"/>
      <c r="D36" s="303"/>
      <c r="E36" s="303"/>
      <c r="F36" s="313" t="s">
        <v>195</v>
      </c>
      <c r="G36" s="313"/>
    </row>
    <row r="37" spans="2:7" ht="15" customHeight="1" x14ac:dyDescent="0.35">
      <c r="B37" s="154" t="s">
        <v>64</v>
      </c>
      <c r="C37" s="154" t="s">
        <v>100</v>
      </c>
      <c r="D37" s="154" t="s">
        <v>66</v>
      </c>
      <c r="E37" s="154" t="s">
        <v>67</v>
      </c>
      <c r="F37" s="155" t="s">
        <v>65</v>
      </c>
      <c r="G37" s="74" t="s">
        <v>68</v>
      </c>
    </row>
    <row r="38" spans="2:7" ht="15" customHeight="1" x14ac:dyDescent="0.35">
      <c r="B38" s="112"/>
      <c r="C38" s="113"/>
      <c r="D38" s="114"/>
      <c r="E38" s="76"/>
      <c r="F38" s="11"/>
      <c r="G38" s="81"/>
    </row>
    <row r="39" spans="2:7" ht="15" customHeight="1" x14ac:dyDescent="0.35">
      <c r="B39" s="112"/>
      <c r="C39" s="113"/>
      <c r="D39" s="114"/>
      <c r="E39" s="76"/>
      <c r="F39" s="76"/>
      <c r="G39" s="81"/>
    </row>
    <row r="40" spans="2:7" ht="15" customHeight="1" x14ac:dyDescent="0.35">
      <c r="B40" s="312" t="s">
        <v>69</v>
      </c>
      <c r="C40" s="312"/>
      <c r="D40" s="312"/>
      <c r="E40" s="116"/>
      <c r="F40" s="117">
        <f t="shared" ref="F40:G40" si="4">SUM(F38:F39)</f>
        <v>0</v>
      </c>
      <c r="G40" s="228">
        <f t="shared" si="4"/>
        <v>0</v>
      </c>
    </row>
    <row r="41" spans="2:7" ht="15" customHeight="1" x14ac:dyDescent="0.35"/>
    <row r="42" spans="2:7" ht="15" customHeight="1" x14ac:dyDescent="0.35">
      <c r="B42" s="303" t="s">
        <v>70</v>
      </c>
      <c r="C42" s="303"/>
      <c r="D42" s="303"/>
      <c r="E42" s="303"/>
      <c r="F42" s="313" t="s">
        <v>196</v>
      </c>
      <c r="G42" s="313"/>
    </row>
    <row r="43" spans="2:7" ht="15" customHeight="1" x14ac:dyDescent="0.35">
      <c r="B43" s="154" t="s">
        <v>64</v>
      </c>
      <c r="C43" s="154" t="s">
        <v>100</v>
      </c>
      <c r="D43" s="154" t="s">
        <v>66</v>
      </c>
      <c r="E43" s="154" t="s">
        <v>67</v>
      </c>
      <c r="F43" s="155" t="s">
        <v>65</v>
      </c>
      <c r="G43" s="74" t="s">
        <v>68</v>
      </c>
    </row>
    <row r="44" spans="2:7" ht="15" customHeight="1" x14ac:dyDescent="0.35">
      <c r="B44" s="112"/>
      <c r="C44" s="113"/>
      <c r="D44" s="114"/>
      <c r="E44" s="76"/>
      <c r="F44" s="11"/>
      <c r="G44" s="81"/>
    </row>
    <row r="45" spans="2:7" ht="15" customHeight="1" x14ac:dyDescent="0.35">
      <c r="B45" s="112"/>
      <c r="C45" s="113"/>
      <c r="D45" s="114"/>
      <c r="E45" s="76"/>
      <c r="F45" s="76"/>
      <c r="G45" s="81"/>
    </row>
    <row r="46" spans="2:7" ht="15" customHeight="1" x14ac:dyDescent="0.35">
      <c r="B46" s="312" t="s">
        <v>69</v>
      </c>
      <c r="C46" s="312"/>
      <c r="D46" s="312"/>
      <c r="E46" s="116"/>
      <c r="F46" s="117">
        <f t="shared" ref="F46:G46" si="5">SUM(F44:F45)</f>
        <v>0</v>
      </c>
      <c r="G46" s="228">
        <f t="shared" si="5"/>
        <v>0</v>
      </c>
    </row>
    <row r="47" spans="2:7" ht="15" customHeight="1" x14ac:dyDescent="0.35"/>
    <row r="48" spans="2:7" ht="15" customHeight="1" x14ac:dyDescent="0.35">
      <c r="B48" s="303" t="s">
        <v>70</v>
      </c>
      <c r="C48" s="303"/>
      <c r="D48" s="303"/>
      <c r="E48" s="303"/>
      <c r="F48" s="313" t="s">
        <v>197</v>
      </c>
      <c r="G48" s="313"/>
    </row>
    <row r="49" spans="2:9" ht="15" customHeight="1" x14ac:dyDescent="0.35">
      <c r="B49" s="154" t="s">
        <v>64</v>
      </c>
      <c r="C49" s="154" t="s">
        <v>100</v>
      </c>
      <c r="D49" s="154" t="s">
        <v>66</v>
      </c>
      <c r="E49" s="154" t="s">
        <v>67</v>
      </c>
      <c r="F49" s="155" t="s">
        <v>65</v>
      </c>
      <c r="G49" s="74" t="s">
        <v>68</v>
      </c>
    </row>
    <row r="50" spans="2:9" ht="15" customHeight="1" x14ac:dyDescent="0.35">
      <c r="B50" s="112"/>
      <c r="C50" s="113"/>
      <c r="D50" s="114"/>
      <c r="E50" s="76"/>
      <c r="F50" s="11"/>
      <c r="G50" s="81"/>
    </row>
    <row r="51" spans="2:9" ht="15" customHeight="1" x14ac:dyDescent="0.35">
      <c r="B51" s="112"/>
      <c r="C51" s="113"/>
      <c r="D51" s="114"/>
      <c r="E51" s="76"/>
      <c r="F51" s="76"/>
      <c r="G51" s="81"/>
    </row>
    <row r="52" spans="2:9" ht="15" customHeight="1" x14ac:dyDescent="0.35">
      <c r="B52" s="312" t="s">
        <v>69</v>
      </c>
      <c r="C52" s="312"/>
      <c r="D52" s="312"/>
      <c r="E52" s="116"/>
      <c r="F52" s="117">
        <f t="shared" ref="F52:G52" si="6">SUM(F50:F51)</f>
        <v>0</v>
      </c>
      <c r="G52" s="228">
        <f t="shared" si="6"/>
        <v>0</v>
      </c>
    </row>
    <row r="53" spans="2:9" ht="15" customHeight="1" x14ac:dyDescent="0.35"/>
    <row r="54" spans="2:9" ht="15" customHeight="1" x14ac:dyDescent="0.35">
      <c r="B54" s="303" t="s">
        <v>70</v>
      </c>
      <c r="C54" s="303"/>
      <c r="D54" s="303"/>
      <c r="E54" s="303"/>
      <c r="F54" s="313" t="s">
        <v>198</v>
      </c>
      <c r="G54" s="313"/>
    </row>
    <row r="55" spans="2:9" ht="15" customHeight="1" x14ac:dyDescent="0.35">
      <c r="B55" s="154" t="s">
        <v>64</v>
      </c>
      <c r="C55" s="154" t="s">
        <v>100</v>
      </c>
      <c r="D55" s="154" t="s">
        <v>66</v>
      </c>
      <c r="E55" s="154" t="s">
        <v>67</v>
      </c>
      <c r="F55" s="155" t="s">
        <v>65</v>
      </c>
      <c r="G55" s="74" t="s">
        <v>68</v>
      </c>
    </row>
    <row r="56" spans="2:9" ht="15" customHeight="1" x14ac:dyDescent="0.35">
      <c r="B56" s="112"/>
      <c r="C56" s="113"/>
      <c r="D56" s="114"/>
      <c r="E56" s="76"/>
      <c r="F56" s="11"/>
      <c r="G56" s="81"/>
    </row>
    <row r="57" spans="2:9" ht="15" customHeight="1" x14ac:dyDescent="0.35">
      <c r="B57" s="112"/>
      <c r="C57" s="113"/>
      <c r="D57" s="114"/>
      <c r="E57" s="76"/>
      <c r="F57" s="76"/>
      <c r="G57" s="81"/>
    </row>
    <row r="58" spans="2:9" ht="15" customHeight="1" x14ac:dyDescent="0.35">
      <c r="B58" s="312" t="s">
        <v>69</v>
      </c>
      <c r="C58" s="312"/>
      <c r="D58" s="312"/>
      <c r="E58" s="116"/>
      <c r="F58" s="117">
        <f t="shared" ref="F58:G58" si="7">SUM(F56:F57)</f>
        <v>0</v>
      </c>
      <c r="G58" s="228">
        <f t="shared" si="7"/>
        <v>0</v>
      </c>
    </row>
    <row r="59" spans="2:9" ht="15" customHeight="1" x14ac:dyDescent="0.35"/>
    <row r="60" spans="2:9" ht="15" customHeight="1" x14ac:dyDescent="0.35">
      <c r="B60" s="303" t="s">
        <v>70</v>
      </c>
      <c r="C60" s="303"/>
      <c r="D60" s="303"/>
      <c r="E60" s="303"/>
      <c r="F60" s="313" t="s">
        <v>199</v>
      </c>
      <c r="G60" s="313"/>
    </row>
    <row r="61" spans="2:9" ht="15" customHeight="1" x14ac:dyDescent="0.35">
      <c r="B61" s="154" t="s">
        <v>64</v>
      </c>
      <c r="C61" s="154" t="s">
        <v>100</v>
      </c>
      <c r="D61" s="154" t="s">
        <v>66</v>
      </c>
      <c r="E61" s="154" t="s">
        <v>67</v>
      </c>
      <c r="F61" s="155" t="s">
        <v>65</v>
      </c>
      <c r="G61" s="74" t="s">
        <v>68</v>
      </c>
      <c r="I61" s="69"/>
    </row>
    <row r="62" spans="2:9" ht="15" customHeight="1" x14ac:dyDescent="0.35">
      <c r="B62" s="112"/>
      <c r="C62" s="113"/>
      <c r="D62" s="114"/>
      <c r="E62" s="76"/>
      <c r="F62" s="11"/>
      <c r="G62" s="81"/>
    </row>
    <row r="63" spans="2:9" ht="15" customHeight="1" x14ac:dyDescent="0.35">
      <c r="B63" s="112"/>
      <c r="C63" s="113"/>
      <c r="D63" s="114"/>
      <c r="E63" s="76"/>
      <c r="F63" s="76"/>
      <c r="G63" s="81"/>
    </row>
    <row r="64" spans="2:9" ht="15" customHeight="1" x14ac:dyDescent="0.35">
      <c r="B64" s="312" t="s">
        <v>69</v>
      </c>
      <c r="C64" s="312"/>
      <c r="D64" s="312"/>
      <c r="E64" s="116"/>
      <c r="F64" s="117">
        <f t="shared" ref="F64" si="8">SUM(F62:F63)</f>
        <v>0</v>
      </c>
      <c r="G64" s="228">
        <f t="shared" ref="G64" si="9">SUM(G62:G63)</f>
        <v>0</v>
      </c>
    </row>
    <row r="65" spans="2:7" ht="15" customHeight="1" x14ac:dyDescent="0.35"/>
    <row r="66" spans="2:7" ht="15" customHeight="1" x14ac:dyDescent="0.35">
      <c r="B66" s="303" t="s">
        <v>70</v>
      </c>
      <c r="C66" s="303"/>
      <c r="D66" s="303"/>
      <c r="E66" s="303"/>
      <c r="F66" s="313" t="s">
        <v>200</v>
      </c>
      <c r="G66" s="313"/>
    </row>
    <row r="67" spans="2:7" ht="15" customHeight="1" x14ac:dyDescent="0.35">
      <c r="B67" s="154" t="s">
        <v>64</v>
      </c>
      <c r="C67" s="154" t="s">
        <v>100</v>
      </c>
      <c r="D67" s="154" t="s">
        <v>66</v>
      </c>
      <c r="E67" s="154" t="s">
        <v>67</v>
      </c>
      <c r="F67" s="155" t="s">
        <v>65</v>
      </c>
      <c r="G67" s="74" t="s">
        <v>68</v>
      </c>
    </row>
    <row r="68" spans="2:7" ht="15" customHeight="1" x14ac:dyDescent="0.35">
      <c r="B68" s="112"/>
      <c r="C68" s="113"/>
      <c r="D68" s="114"/>
      <c r="E68" s="76"/>
      <c r="F68" s="11"/>
      <c r="G68" s="81"/>
    </row>
    <row r="69" spans="2:7" ht="15" customHeight="1" x14ac:dyDescent="0.35">
      <c r="B69" s="112"/>
      <c r="C69" s="113"/>
      <c r="D69" s="114"/>
      <c r="E69" s="76"/>
      <c r="F69" s="76"/>
      <c r="G69" s="81"/>
    </row>
    <row r="70" spans="2:7" ht="15" customHeight="1" x14ac:dyDescent="0.35">
      <c r="B70" s="312" t="s">
        <v>69</v>
      </c>
      <c r="C70" s="312"/>
      <c r="D70" s="312"/>
      <c r="E70" s="116"/>
      <c r="F70" s="117">
        <f t="shared" ref="F70" si="10">SUM(F68:F69)</f>
        <v>0</v>
      </c>
      <c r="G70" s="228">
        <f t="shared" ref="G70" si="11">SUM(G68:G69)</f>
        <v>0</v>
      </c>
    </row>
    <row r="71" spans="2:7" ht="15" customHeight="1" x14ac:dyDescent="0.35"/>
    <row r="72" spans="2:7" ht="15" customHeight="1" x14ac:dyDescent="0.35">
      <c r="B72" s="303" t="s">
        <v>70</v>
      </c>
      <c r="C72" s="303"/>
      <c r="D72" s="303"/>
      <c r="E72" s="303"/>
      <c r="F72" s="313" t="s">
        <v>201</v>
      </c>
      <c r="G72" s="313"/>
    </row>
    <row r="73" spans="2:7" ht="15" customHeight="1" x14ac:dyDescent="0.35">
      <c r="B73" s="154" t="s">
        <v>64</v>
      </c>
      <c r="C73" s="154" t="s">
        <v>100</v>
      </c>
      <c r="D73" s="154" t="s">
        <v>66</v>
      </c>
      <c r="E73" s="154" t="s">
        <v>67</v>
      </c>
      <c r="F73" s="155" t="s">
        <v>65</v>
      </c>
      <c r="G73" s="74" t="s">
        <v>68</v>
      </c>
    </row>
    <row r="74" spans="2:7" ht="15" customHeight="1" x14ac:dyDescent="0.35">
      <c r="B74" s="112"/>
      <c r="C74" s="113"/>
      <c r="D74" s="114"/>
      <c r="E74" s="76"/>
      <c r="F74" s="11"/>
      <c r="G74" s="81"/>
    </row>
    <row r="75" spans="2:7" ht="15" customHeight="1" x14ac:dyDescent="0.35">
      <c r="B75" s="112"/>
      <c r="C75" s="113"/>
      <c r="D75" s="114"/>
      <c r="E75" s="76"/>
      <c r="F75" s="76"/>
      <c r="G75" s="81"/>
    </row>
    <row r="76" spans="2:7" ht="15" customHeight="1" x14ac:dyDescent="0.35">
      <c r="B76" s="312" t="s">
        <v>69</v>
      </c>
      <c r="C76" s="312"/>
      <c r="D76" s="312"/>
      <c r="E76" s="116"/>
      <c r="F76" s="117">
        <f t="shared" ref="F76" si="12">SUM(F74:F75)</f>
        <v>0</v>
      </c>
      <c r="G76" s="228">
        <f t="shared" ref="G76" si="13">SUM(G74:G75)</f>
        <v>0</v>
      </c>
    </row>
    <row r="79" spans="2:7" x14ac:dyDescent="0.35">
      <c r="B79" t="s">
        <v>261</v>
      </c>
    </row>
    <row r="80" spans="2:7" x14ac:dyDescent="0.35">
      <c r="B80" t="s">
        <v>262</v>
      </c>
    </row>
  </sheetData>
  <mergeCells count="37">
    <mergeCell ref="B6:E6"/>
    <mergeCell ref="F6:G6"/>
    <mergeCell ref="B10:D10"/>
    <mergeCell ref="B1:S3"/>
    <mergeCell ref="B12:E12"/>
    <mergeCell ref="F12:G12"/>
    <mergeCell ref="B16:D16"/>
    <mergeCell ref="B18:E18"/>
    <mergeCell ref="F18:G18"/>
    <mergeCell ref="B22:D22"/>
    <mergeCell ref="B24:E24"/>
    <mergeCell ref="F24:G24"/>
    <mergeCell ref="B28:D28"/>
    <mergeCell ref="B30:E30"/>
    <mergeCell ref="F30:G30"/>
    <mergeCell ref="B34:D34"/>
    <mergeCell ref="B36:E36"/>
    <mergeCell ref="F36:G36"/>
    <mergeCell ref="B40:D40"/>
    <mergeCell ref="B42:E42"/>
    <mergeCell ref="F42:G42"/>
    <mergeCell ref="B46:D46"/>
    <mergeCell ref="B48:E48"/>
    <mergeCell ref="F48:G48"/>
    <mergeCell ref="B52:D52"/>
    <mergeCell ref="B54:E54"/>
    <mergeCell ref="F54:G54"/>
    <mergeCell ref="B70:D70"/>
    <mergeCell ref="B72:E72"/>
    <mergeCell ref="F72:G72"/>
    <mergeCell ref="B76:D76"/>
    <mergeCell ref="B58:D58"/>
    <mergeCell ref="B60:E60"/>
    <mergeCell ref="F60:G60"/>
    <mergeCell ref="B64:D64"/>
    <mergeCell ref="B66:E66"/>
    <mergeCell ref="F66:G66"/>
  </mergeCells>
  <phoneticPr fontId="3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5"/>
  <dimension ref="B1:T23"/>
  <sheetViews>
    <sheetView showGridLines="0" zoomScale="85" zoomScaleNormal="85" workbookViewId="0">
      <selection activeCell="L33" sqref="L33"/>
    </sheetView>
  </sheetViews>
  <sheetFormatPr defaultRowHeight="14.5" x14ac:dyDescent="0.35"/>
  <cols>
    <col min="1" max="1" width="3.81640625" customWidth="1"/>
    <col min="2" max="2" width="13.7265625" customWidth="1"/>
    <col min="3" max="3" width="15.453125" bestFit="1" customWidth="1"/>
    <col min="4" max="4" width="10.453125" customWidth="1"/>
    <col min="5" max="5" width="13.453125" customWidth="1"/>
    <col min="6" max="6" width="19.453125" style="30" bestFit="1" customWidth="1"/>
    <col min="7" max="7" width="19.453125" style="28" bestFit="1" customWidth="1"/>
    <col min="8" max="8" width="11.1796875" customWidth="1"/>
    <col min="9" max="9" width="12.1796875" style="28" bestFit="1" customWidth="1"/>
    <col min="10" max="10" width="7.1796875" bestFit="1" customWidth="1"/>
    <col min="11" max="11" width="7.1796875" customWidth="1"/>
    <col min="12" max="12" width="13.54296875" customWidth="1"/>
    <col min="13" max="13" width="14.1796875" customWidth="1"/>
    <col min="14" max="14" width="10.453125" customWidth="1"/>
    <col min="15" max="15" width="12.453125" customWidth="1"/>
    <col min="16" max="16" width="11.26953125" style="30" customWidth="1"/>
    <col min="17" max="17" width="13.36328125" style="28" bestFit="1" customWidth="1"/>
    <col min="18" max="18" width="16.26953125" customWidth="1"/>
    <col min="19" max="19" width="12.1796875" style="28" bestFit="1" customWidth="1"/>
    <col min="20" max="20" width="7.1796875" bestFit="1" customWidth="1"/>
  </cols>
  <sheetData>
    <row r="1" spans="2:20" x14ac:dyDescent="0.35">
      <c r="B1" s="314" t="s">
        <v>264</v>
      </c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</row>
    <row r="2" spans="2:20" x14ac:dyDescent="0.35"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</row>
    <row r="3" spans="2:20" x14ac:dyDescent="0.35"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</row>
    <row r="4" spans="2:20" x14ac:dyDescent="0.35">
      <c r="B4" s="8"/>
      <c r="C4" s="8"/>
      <c r="D4" s="8"/>
      <c r="E4" s="8"/>
      <c r="F4" s="33"/>
      <c r="G4" s="25"/>
      <c r="H4" s="8"/>
      <c r="I4" s="25"/>
      <c r="J4" s="8"/>
      <c r="K4" s="8"/>
      <c r="L4" s="8"/>
      <c r="M4" s="8"/>
      <c r="N4" s="8"/>
      <c r="O4" s="8"/>
      <c r="P4" s="33"/>
      <c r="Q4" s="25"/>
      <c r="R4" s="8"/>
      <c r="S4" s="25"/>
      <c r="T4" s="8"/>
    </row>
    <row r="5" spans="2:20" s="1" customFormat="1" x14ac:dyDescent="0.35">
      <c r="B5" s="303" t="s">
        <v>4</v>
      </c>
      <c r="C5" s="303"/>
      <c r="D5" s="303"/>
      <c r="E5" s="303"/>
      <c r="F5" s="303"/>
      <c r="G5" s="303"/>
      <c r="H5" s="303"/>
      <c r="I5" s="303"/>
      <c r="J5" s="303"/>
      <c r="K5" s="6"/>
      <c r="L5" s="303" t="s">
        <v>5</v>
      </c>
      <c r="M5" s="303"/>
      <c r="N5" s="303"/>
      <c r="O5" s="303"/>
      <c r="P5" s="303"/>
      <c r="Q5" s="303"/>
      <c r="R5" s="303"/>
      <c r="S5" s="303"/>
      <c r="T5" s="303"/>
    </row>
    <row r="6" spans="2:20" s="1" customFormat="1" x14ac:dyDescent="0.35">
      <c r="B6" s="303" t="s">
        <v>3</v>
      </c>
      <c r="C6" s="303"/>
      <c r="D6" s="303"/>
      <c r="E6" s="303"/>
      <c r="F6" s="303"/>
      <c r="G6" s="303"/>
      <c r="H6" s="303"/>
      <c r="I6" s="303"/>
      <c r="J6" s="303"/>
      <c r="L6" s="303" t="s">
        <v>3</v>
      </c>
      <c r="M6" s="303"/>
      <c r="N6" s="303"/>
      <c r="O6" s="303"/>
      <c r="P6" s="303"/>
      <c r="Q6" s="303"/>
      <c r="R6" s="303"/>
      <c r="S6" s="303"/>
      <c r="T6" s="303"/>
    </row>
    <row r="7" spans="2:20" s="3" customFormat="1" ht="45" customHeight="1" x14ac:dyDescent="0.35">
      <c r="B7" s="155" t="s">
        <v>124</v>
      </c>
      <c r="C7" s="72" t="s">
        <v>123</v>
      </c>
      <c r="D7" s="72" t="s">
        <v>0</v>
      </c>
      <c r="E7" s="92" t="s">
        <v>1</v>
      </c>
      <c r="F7" s="72" t="s">
        <v>2</v>
      </c>
      <c r="G7" s="92" t="s">
        <v>7</v>
      </c>
      <c r="H7" s="72" t="s">
        <v>6</v>
      </c>
      <c r="I7" s="74" t="s">
        <v>13</v>
      </c>
      <c r="J7" s="72" t="s">
        <v>12</v>
      </c>
      <c r="L7" s="155" t="s">
        <v>124</v>
      </c>
      <c r="M7" s="72" t="s">
        <v>123</v>
      </c>
      <c r="N7" s="72" t="s">
        <v>0</v>
      </c>
      <c r="O7" s="92" t="s">
        <v>1</v>
      </c>
      <c r="P7" s="72" t="s">
        <v>2</v>
      </c>
      <c r="Q7" s="92" t="s">
        <v>7</v>
      </c>
      <c r="R7" s="72" t="s">
        <v>6</v>
      </c>
      <c r="S7" s="74" t="s">
        <v>13</v>
      </c>
      <c r="T7" s="72" t="s">
        <v>12</v>
      </c>
    </row>
    <row r="8" spans="2:20" x14ac:dyDescent="0.35">
      <c r="B8" s="248">
        <v>46023</v>
      </c>
      <c r="C8" s="259">
        <f>'NF Óleo Comb'!N6</f>
        <v>4.3259749721436531</v>
      </c>
      <c r="D8" s="258">
        <f>'ANP Óleo Comb'!O6</f>
        <v>2.8352816436945907</v>
      </c>
      <c r="E8" s="258">
        <f t="shared" ref="E8:E19" si="0">MIN(C8,D8)</f>
        <v>2.8352816436945907</v>
      </c>
      <c r="F8" s="268">
        <f>IFERROR(VLOOKUP(B8,SCD!$B$6:$F$41,5,0)*1000,0)</f>
        <v>104428</v>
      </c>
      <c r="G8" s="268">
        <f t="shared" ref="G8" si="1">E8*F8</f>
        <v>296082.79148773872</v>
      </c>
      <c r="H8" s="135">
        <f>ROUND(Parâmetros!$D$6,6)</f>
        <v>1</v>
      </c>
      <c r="I8" s="126">
        <f t="shared" ref="I8" si="2">ROUND(G8*H8,2)</f>
        <v>296082.78999999998</v>
      </c>
      <c r="J8" s="76"/>
      <c r="L8" s="248">
        <v>46023</v>
      </c>
      <c r="M8" s="258">
        <f>IFERROR(VLOOKUP(L8,'NF Diesel'!$T$6:$Z$18,2,0),0)</f>
        <v>4.2300000000000004</v>
      </c>
      <c r="N8" s="258">
        <f>'ANP Diesel'!K8</f>
        <v>4.0259999999999998</v>
      </c>
      <c r="O8" s="258">
        <f>MIN(M8,N8)</f>
        <v>4.0259999999999998</v>
      </c>
      <c r="P8" s="125">
        <f>IFERROR(VLOOKUP(L8,SCD!$B$6:$F$41,4,0)*1000,0)</f>
        <v>35860</v>
      </c>
      <c r="Q8" s="126">
        <f t="shared" ref="Q8:Q9" si="3">O8*P8</f>
        <v>144372.35999999999</v>
      </c>
      <c r="R8" s="135">
        <f>Parâmetros!$D$6</f>
        <v>1</v>
      </c>
      <c r="S8" s="126">
        <f t="shared" ref="S8:S19" si="4">ROUND(Q8*R8,2)</f>
        <v>144372.35999999999</v>
      </c>
      <c r="T8" s="76"/>
    </row>
    <row r="9" spans="2:20" x14ac:dyDescent="0.35">
      <c r="B9" s="275">
        <v>46054</v>
      </c>
      <c r="C9" s="259">
        <f>'NF Óleo Comb'!K7</f>
        <v>4.3259749721436531</v>
      </c>
      <c r="D9" s="258">
        <f>'ANP Óleo Comb'!O8</f>
        <v>2.97543735899482</v>
      </c>
      <c r="E9" s="258">
        <f t="shared" si="0"/>
        <v>2.97543735899482</v>
      </c>
      <c r="F9" s="126">
        <f>IFERROR(VLOOKUP(B9,SCD!$B$6:$F$41,5,0)*1000,0)</f>
        <v>502060</v>
      </c>
      <c r="G9" s="126">
        <f>E9*F9</f>
        <v>1493848.0804569393</v>
      </c>
      <c r="H9" s="135">
        <f>ROUND(Parâmetros!$D$6,6)</f>
        <v>1</v>
      </c>
      <c r="I9" s="126">
        <f t="shared" ref="I9:I19" si="5">ROUND(G9*H9,2)</f>
        <v>1493848.08</v>
      </c>
      <c r="J9" s="76"/>
      <c r="L9" s="248">
        <v>46054</v>
      </c>
      <c r="M9" s="258">
        <f>IFERROR(VLOOKUP(L9,'NF Diesel'!$T$6:$Z$18,2,0),0)</f>
        <v>4.2300000000000004</v>
      </c>
      <c r="N9" s="258">
        <f>'ANP Diesel'!K9</f>
        <v>4.1669999999999998</v>
      </c>
      <c r="O9" s="258">
        <f t="shared" ref="O9:O19" si="6">MIN(M9,N9)</f>
        <v>4.1669999999999998</v>
      </c>
      <c r="P9" s="125">
        <f>IFERROR(VLOOKUP(L9,SCD!$B$6:$F$41,4,0)*1000,0)</f>
        <v>20410</v>
      </c>
      <c r="Q9" s="126">
        <f t="shared" si="3"/>
        <v>85048.47</v>
      </c>
      <c r="R9" s="135">
        <f>Parâmetros!$D$6</f>
        <v>1</v>
      </c>
      <c r="S9" s="126">
        <f t="shared" si="4"/>
        <v>85048.47</v>
      </c>
      <c r="T9" s="76"/>
    </row>
    <row r="10" spans="2:20" x14ac:dyDescent="0.35">
      <c r="B10" s="248">
        <v>46082</v>
      </c>
      <c r="C10" s="259">
        <f>IFERROR(VLOOKUP(B10,'NF Óleo Comb'!$J$5:$P$5,2,0),0)</f>
        <v>0</v>
      </c>
      <c r="D10" s="246">
        <f>'ANP Óleo Comb'!O30</f>
        <v>0</v>
      </c>
      <c r="E10" s="159">
        <f t="shared" si="0"/>
        <v>0</v>
      </c>
      <c r="F10" s="126">
        <f>IFERROR(VLOOKUP(B10,SCD!$B$6:$F$41,5,0)*1000,0)</f>
        <v>0</v>
      </c>
      <c r="G10" s="126">
        <f t="shared" ref="G10:G19" si="7">E10*F10</f>
        <v>0</v>
      </c>
      <c r="H10" s="135">
        <f>ROUND(Parâmetros!$D$6,6)</f>
        <v>1</v>
      </c>
      <c r="I10" s="126">
        <f t="shared" si="5"/>
        <v>0</v>
      </c>
      <c r="J10" s="76"/>
      <c r="L10" s="275">
        <v>46082</v>
      </c>
      <c r="M10" s="258">
        <f>IFERROR(VLOOKUP(L10,'NF Diesel'!$T$6:$Z$18,2,0),0)</f>
        <v>4.2300000000000004</v>
      </c>
      <c r="N10" s="246">
        <v>0</v>
      </c>
      <c r="O10" s="76">
        <f t="shared" si="6"/>
        <v>0</v>
      </c>
      <c r="P10" s="125">
        <f>IFERROR(VLOOKUP(L10,SCD!$B$6:$F$41,4,0)*1000,0)</f>
        <v>0</v>
      </c>
      <c r="Q10" s="126">
        <f t="shared" ref="Q10:Q19" si="8">O10*P10</f>
        <v>0</v>
      </c>
      <c r="R10" s="135">
        <f>Parâmetros!$D$6</f>
        <v>1</v>
      </c>
      <c r="S10" s="126">
        <f t="shared" si="4"/>
        <v>0</v>
      </c>
      <c r="T10" s="76"/>
    </row>
    <row r="11" spans="2:20" x14ac:dyDescent="0.35">
      <c r="B11" s="275">
        <v>46113</v>
      </c>
      <c r="C11" s="258">
        <f>IFERROR(VLOOKUP(B11,'NF Óleo Comb'!$J$5:$P$5,2,0),0)</f>
        <v>0</v>
      </c>
      <c r="D11" s="246">
        <f>'ANP Óleo Comb'!O31</f>
        <v>0</v>
      </c>
      <c r="E11" s="159">
        <f t="shared" si="0"/>
        <v>0</v>
      </c>
      <c r="F11" s="126">
        <f>IFERROR(VLOOKUP(B11,SCD!$B$6:$F$41,5,0)*1000,0)</f>
        <v>0</v>
      </c>
      <c r="G11" s="126">
        <f t="shared" si="7"/>
        <v>0</v>
      </c>
      <c r="H11" s="135">
        <f>ROUND(Parâmetros!$D$6,6)</f>
        <v>1</v>
      </c>
      <c r="I11" s="126">
        <f t="shared" si="5"/>
        <v>0</v>
      </c>
      <c r="J11" s="76"/>
      <c r="L11" s="248">
        <v>46113</v>
      </c>
      <c r="M11" s="258">
        <f>IFERROR(VLOOKUP(L11,'NF Diesel'!$T$6:$Z$18,2,0),0)</f>
        <v>4.2300000000000004</v>
      </c>
      <c r="N11" s="246">
        <f>'ANP Óleo Comb'!O9</f>
        <v>0</v>
      </c>
      <c r="O11" s="76">
        <f t="shared" si="6"/>
        <v>0</v>
      </c>
      <c r="P11" s="125">
        <f>IFERROR(VLOOKUP(L11,SCD!$B$6:$F$41,4,0)*1000,0)</f>
        <v>0</v>
      </c>
      <c r="Q11" s="126">
        <f t="shared" si="8"/>
        <v>0</v>
      </c>
      <c r="R11" s="135">
        <f>Parâmetros!$D$6</f>
        <v>1</v>
      </c>
      <c r="S11" s="126">
        <f t="shared" si="4"/>
        <v>0</v>
      </c>
      <c r="T11" s="76"/>
    </row>
    <row r="12" spans="2:20" x14ac:dyDescent="0.35">
      <c r="B12" s="248">
        <v>46143</v>
      </c>
      <c r="C12" s="259">
        <f>IFERROR(VLOOKUP(B12,'NF Óleo Comb'!$J$5:$P$5,2,0),0)</f>
        <v>0</v>
      </c>
      <c r="D12" s="246">
        <f>'ANP Óleo Comb'!O32</f>
        <v>0</v>
      </c>
      <c r="E12" s="159">
        <f t="shared" si="0"/>
        <v>0</v>
      </c>
      <c r="F12" s="126">
        <f>IFERROR(VLOOKUP(B12,SCD!$B$6:$F$41,5,0)*1000,0)</f>
        <v>0</v>
      </c>
      <c r="G12" s="126">
        <f t="shared" si="7"/>
        <v>0</v>
      </c>
      <c r="H12" s="135">
        <f>ROUND(Parâmetros!$D$6,6)</f>
        <v>1</v>
      </c>
      <c r="I12" s="126">
        <f t="shared" si="5"/>
        <v>0</v>
      </c>
      <c r="J12" s="76"/>
      <c r="L12" s="248">
        <v>46143</v>
      </c>
      <c r="M12" s="258">
        <f>IFERROR(VLOOKUP(L12,'NF Diesel'!$T$6:$Z$18,2,0),0)</f>
        <v>4.2300000000000004</v>
      </c>
      <c r="N12" s="246">
        <f>'ANP Óleo Comb'!O10</f>
        <v>0</v>
      </c>
      <c r="O12" s="76">
        <f t="shared" si="6"/>
        <v>0</v>
      </c>
      <c r="P12" s="125">
        <f>IFERROR(VLOOKUP(L12,SCD!$B$6:$F$41,4,0)*1000,0)</f>
        <v>0</v>
      </c>
      <c r="Q12" s="126">
        <f t="shared" si="8"/>
        <v>0</v>
      </c>
      <c r="R12" s="135">
        <f>Parâmetros!$D$6</f>
        <v>1</v>
      </c>
      <c r="S12" s="126">
        <f t="shared" si="4"/>
        <v>0</v>
      </c>
      <c r="T12" s="76"/>
    </row>
    <row r="13" spans="2:20" x14ac:dyDescent="0.35">
      <c r="B13" s="275">
        <v>46174</v>
      </c>
      <c r="C13" s="258">
        <f>IFERROR(VLOOKUP(B13,'NF Óleo Comb'!$J$5:$P$5,2,0),0)</f>
        <v>0</v>
      </c>
      <c r="D13" s="246">
        <f>'ANP Óleo Comb'!O33</f>
        <v>0</v>
      </c>
      <c r="E13" s="159">
        <f t="shared" si="0"/>
        <v>0</v>
      </c>
      <c r="F13" s="126">
        <f>IFERROR(VLOOKUP(B13,SCD!$B$6:$F$41,5,0)*1000,0)</f>
        <v>0</v>
      </c>
      <c r="G13" s="126">
        <f t="shared" si="7"/>
        <v>0</v>
      </c>
      <c r="H13" s="135">
        <f>ROUND(Parâmetros!$D$6,6)</f>
        <v>1</v>
      </c>
      <c r="I13" s="126">
        <f t="shared" si="5"/>
        <v>0</v>
      </c>
      <c r="J13" s="76"/>
      <c r="L13" s="275">
        <v>46174</v>
      </c>
      <c r="M13" s="258">
        <f>IFERROR(VLOOKUP(L13,'NF Diesel'!$T$6:$Z$18,2,0),0)</f>
        <v>4.2300000000000004</v>
      </c>
      <c r="N13" s="246">
        <f>'ANP Óleo Comb'!O11</f>
        <v>0</v>
      </c>
      <c r="O13" s="76">
        <f t="shared" si="6"/>
        <v>0</v>
      </c>
      <c r="P13" s="125">
        <f>IFERROR(VLOOKUP(L13,SCD!$B$6:$F$41,4,0)*1000,0)</f>
        <v>0</v>
      </c>
      <c r="Q13" s="126">
        <f t="shared" si="8"/>
        <v>0</v>
      </c>
      <c r="R13" s="135">
        <f>Parâmetros!$D$6</f>
        <v>1</v>
      </c>
      <c r="S13" s="126">
        <f t="shared" si="4"/>
        <v>0</v>
      </c>
      <c r="T13" s="76"/>
    </row>
    <row r="14" spans="2:20" x14ac:dyDescent="0.35">
      <c r="B14" s="248">
        <v>46204</v>
      </c>
      <c r="C14" s="259">
        <f>IFERROR(VLOOKUP(B14,'NF Óleo Comb'!$J$5:$P$5,2,0),0)</f>
        <v>0</v>
      </c>
      <c r="D14" s="246">
        <f>'ANP Óleo Comb'!O34</f>
        <v>0</v>
      </c>
      <c r="E14" s="159">
        <f t="shared" si="0"/>
        <v>0</v>
      </c>
      <c r="F14" s="126">
        <f>IFERROR(VLOOKUP(B14,SCD!$B$6:$F$41,5,0)*1000,0)</f>
        <v>0</v>
      </c>
      <c r="G14" s="126">
        <f t="shared" si="7"/>
        <v>0</v>
      </c>
      <c r="H14" s="135">
        <f>ROUND(Parâmetros!$D$6,6)</f>
        <v>1</v>
      </c>
      <c r="I14" s="126">
        <f t="shared" si="5"/>
        <v>0</v>
      </c>
      <c r="J14" s="76"/>
      <c r="L14" s="248">
        <v>46204</v>
      </c>
      <c r="M14" s="258">
        <f>IFERROR(VLOOKUP(L14,'NF Diesel'!$T$6:$Z$18,2,0),0)</f>
        <v>4.2300000000000004</v>
      </c>
      <c r="N14" s="246">
        <f>'ANP Óleo Comb'!O12</f>
        <v>0</v>
      </c>
      <c r="O14" s="76">
        <f t="shared" si="6"/>
        <v>0</v>
      </c>
      <c r="P14" s="125">
        <f>IFERROR(VLOOKUP(L14,SCD!$B$6:$F$41,4,0)*1000,0)</f>
        <v>0</v>
      </c>
      <c r="Q14" s="126">
        <f t="shared" si="8"/>
        <v>0</v>
      </c>
      <c r="R14" s="135">
        <f>Parâmetros!$D$6</f>
        <v>1</v>
      </c>
      <c r="S14" s="126">
        <f t="shared" si="4"/>
        <v>0</v>
      </c>
      <c r="T14" s="76"/>
    </row>
    <row r="15" spans="2:20" x14ac:dyDescent="0.35">
      <c r="B15" s="275">
        <v>46235</v>
      </c>
      <c r="C15" s="258">
        <f>IFERROR(VLOOKUP(B15,'NF Óleo Comb'!$J$5:$P$5,2,0),0)</f>
        <v>0</v>
      </c>
      <c r="D15" s="246">
        <f>'ANP Óleo Comb'!O35</f>
        <v>0</v>
      </c>
      <c r="E15" s="159">
        <f t="shared" si="0"/>
        <v>0</v>
      </c>
      <c r="F15" s="126">
        <f>IFERROR(VLOOKUP(B15,SCD!$B$6:$F$41,5,0)*1000,0)</f>
        <v>0</v>
      </c>
      <c r="G15" s="126">
        <f t="shared" si="7"/>
        <v>0</v>
      </c>
      <c r="H15" s="135">
        <f>ROUND(Parâmetros!$D$6,6)</f>
        <v>1</v>
      </c>
      <c r="I15" s="126">
        <f t="shared" si="5"/>
        <v>0</v>
      </c>
      <c r="J15" s="76"/>
      <c r="L15" s="248">
        <v>46235</v>
      </c>
      <c r="M15" s="258">
        <f>IFERROR(VLOOKUP(L15,'NF Diesel'!$T$6:$Z$18,2,0),0)</f>
        <v>4.2300000000000004</v>
      </c>
      <c r="N15" s="246">
        <f>'ANP Óleo Comb'!O13</f>
        <v>0</v>
      </c>
      <c r="O15" s="76">
        <f t="shared" si="6"/>
        <v>0</v>
      </c>
      <c r="P15" s="125">
        <f>IFERROR(VLOOKUP(L15,SCD!$B$6:$F$41,4,0)*1000,0)</f>
        <v>0</v>
      </c>
      <c r="Q15" s="126">
        <f t="shared" si="8"/>
        <v>0</v>
      </c>
      <c r="R15" s="135">
        <f>Parâmetros!$D$6</f>
        <v>1</v>
      </c>
      <c r="S15" s="126">
        <f t="shared" si="4"/>
        <v>0</v>
      </c>
      <c r="T15" s="76"/>
    </row>
    <row r="16" spans="2:20" x14ac:dyDescent="0.35">
      <c r="B16" s="248">
        <v>46266</v>
      </c>
      <c r="C16" s="259">
        <f>IFERROR(VLOOKUP(B16,'NF Óleo Comb'!$J$5:$P$5,2,0),0)</f>
        <v>0</v>
      </c>
      <c r="D16" s="246">
        <f>'ANP Óleo Comb'!O36</f>
        <v>0</v>
      </c>
      <c r="E16" s="159">
        <f t="shared" si="0"/>
        <v>0</v>
      </c>
      <c r="F16" s="126">
        <f>IFERROR(VLOOKUP(B16,SCD!$B$6:$F$41,5,0)*1000,0)</f>
        <v>0</v>
      </c>
      <c r="G16" s="126">
        <f t="shared" si="7"/>
        <v>0</v>
      </c>
      <c r="H16" s="135">
        <f>ROUND(Parâmetros!$D$6,6)</f>
        <v>1</v>
      </c>
      <c r="I16" s="126">
        <f t="shared" si="5"/>
        <v>0</v>
      </c>
      <c r="J16" s="76"/>
      <c r="L16" s="275">
        <v>46266</v>
      </c>
      <c r="M16" s="258">
        <f>IFERROR(VLOOKUP(L16,'NF Diesel'!$T$6:$Z$18,2,0),0)</f>
        <v>4.2300000000000004</v>
      </c>
      <c r="N16" s="246">
        <f>'ANP Óleo Comb'!O14</f>
        <v>0</v>
      </c>
      <c r="O16" s="76">
        <f t="shared" si="6"/>
        <v>0</v>
      </c>
      <c r="P16" s="125">
        <f>IFERROR(VLOOKUP(L16,SCD!$B$6:$F$41,4,0)*1000,0)</f>
        <v>0</v>
      </c>
      <c r="Q16" s="126">
        <f t="shared" si="8"/>
        <v>0</v>
      </c>
      <c r="R16" s="135">
        <f>Parâmetros!$D$6</f>
        <v>1</v>
      </c>
      <c r="S16" s="126">
        <f t="shared" si="4"/>
        <v>0</v>
      </c>
      <c r="T16" s="76"/>
    </row>
    <row r="17" spans="2:20" x14ac:dyDescent="0.35">
      <c r="B17" s="275">
        <v>46296</v>
      </c>
      <c r="C17" s="258">
        <f>IFERROR(VLOOKUP(B17,'NF Óleo Comb'!$J$5:$P$5,2,0),0)</f>
        <v>0</v>
      </c>
      <c r="D17" s="246">
        <f>'ANP Óleo Comb'!O37</f>
        <v>0</v>
      </c>
      <c r="E17" s="159">
        <f t="shared" si="0"/>
        <v>0</v>
      </c>
      <c r="F17" s="126">
        <f>IFERROR(VLOOKUP(B17,SCD!$B$6:$F$41,5,0)*1000,0)</f>
        <v>0</v>
      </c>
      <c r="G17" s="126">
        <f t="shared" si="7"/>
        <v>0</v>
      </c>
      <c r="H17" s="135">
        <f>ROUND(Parâmetros!$D$6,6)</f>
        <v>1</v>
      </c>
      <c r="I17" s="126">
        <f t="shared" si="5"/>
        <v>0</v>
      </c>
      <c r="J17" s="76"/>
      <c r="L17" s="248">
        <v>46296</v>
      </c>
      <c r="M17" s="258">
        <f>IFERROR(VLOOKUP(L17,'NF Diesel'!$T$6:$Z$18,2,0),0)</f>
        <v>4.2300000000000004</v>
      </c>
      <c r="N17" s="246">
        <f>'ANP Óleo Comb'!O15</f>
        <v>0</v>
      </c>
      <c r="O17" s="76">
        <f t="shared" si="6"/>
        <v>0</v>
      </c>
      <c r="P17" s="125">
        <f>IFERROR(VLOOKUP(L17,SCD!$B$6:$F$41,4,0)*1000,0)</f>
        <v>0</v>
      </c>
      <c r="Q17" s="126">
        <f t="shared" si="8"/>
        <v>0</v>
      </c>
      <c r="R17" s="135">
        <f>Parâmetros!$D$6</f>
        <v>1</v>
      </c>
      <c r="S17" s="126">
        <f t="shared" si="4"/>
        <v>0</v>
      </c>
      <c r="T17" s="76"/>
    </row>
    <row r="18" spans="2:20" x14ac:dyDescent="0.35">
      <c r="B18" s="248">
        <v>46327</v>
      </c>
      <c r="C18" s="259">
        <f>IFERROR(VLOOKUP(B18,'NF Óleo Comb'!$J$5:$P$5,2,0),0)</f>
        <v>0</v>
      </c>
      <c r="D18" s="246">
        <f>'ANP Óleo Comb'!O38</f>
        <v>0</v>
      </c>
      <c r="E18" s="159">
        <f t="shared" si="0"/>
        <v>0</v>
      </c>
      <c r="F18" s="126">
        <f>IFERROR(VLOOKUP(B18,SCD!$B$6:$F$41,5,0)*1000,0)</f>
        <v>0</v>
      </c>
      <c r="G18" s="126">
        <f t="shared" si="7"/>
        <v>0</v>
      </c>
      <c r="H18" s="135">
        <f>ROUND(Parâmetros!$D$6,6)</f>
        <v>1</v>
      </c>
      <c r="I18" s="126">
        <f t="shared" si="5"/>
        <v>0</v>
      </c>
      <c r="J18" s="76"/>
      <c r="L18" s="248">
        <v>46327</v>
      </c>
      <c r="M18" s="258">
        <f>IFERROR(VLOOKUP(L18,'NF Diesel'!$T$6:$Z$18,2,0),0)</f>
        <v>4.2300000000000004</v>
      </c>
      <c r="N18" s="246">
        <f>'ANP Óleo Comb'!O16</f>
        <v>0</v>
      </c>
      <c r="O18" s="76">
        <f t="shared" si="6"/>
        <v>0</v>
      </c>
      <c r="P18" s="125">
        <f>IFERROR(VLOOKUP(L18,SCD!$B$6:$F$41,4,0)*1000,0)</f>
        <v>0</v>
      </c>
      <c r="Q18" s="126">
        <f t="shared" si="8"/>
        <v>0</v>
      </c>
      <c r="R18" s="135">
        <f>Parâmetros!$D$6</f>
        <v>1</v>
      </c>
      <c r="S18" s="126">
        <f t="shared" si="4"/>
        <v>0</v>
      </c>
      <c r="T18" s="76"/>
    </row>
    <row r="19" spans="2:20" x14ac:dyDescent="0.35">
      <c r="B19" s="275">
        <v>46357</v>
      </c>
      <c r="C19" s="258">
        <f>IFERROR(VLOOKUP(B19,'NF Óleo Comb'!$J$5:$P$5,2,0),0)</f>
        <v>0</v>
      </c>
      <c r="D19" s="246">
        <f>'ANP Óleo Comb'!O39</f>
        <v>0</v>
      </c>
      <c r="E19" s="159">
        <f t="shared" si="0"/>
        <v>0</v>
      </c>
      <c r="F19" s="126">
        <f>IFERROR(VLOOKUP(B19,SCD!$B$6:$F$41,5,0)*1000,0)</f>
        <v>0</v>
      </c>
      <c r="G19" s="126">
        <f t="shared" si="7"/>
        <v>0</v>
      </c>
      <c r="H19" s="135">
        <f>ROUND(Parâmetros!$D$6,6)</f>
        <v>1</v>
      </c>
      <c r="I19" s="126">
        <f t="shared" si="5"/>
        <v>0</v>
      </c>
      <c r="J19" s="76"/>
      <c r="L19" s="275">
        <v>46357</v>
      </c>
      <c r="M19" s="258">
        <f>IFERROR(VLOOKUP(L19,'NF Diesel'!$T$6:$Z$18,2,0),0)</f>
        <v>4.2300000000000004</v>
      </c>
      <c r="N19" s="246">
        <f>'ANP Óleo Comb'!O17</f>
        <v>0</v>
      </c>
      <c r="O19" s="76">
        <f t="shared" si="6"/>
        <v>0</v>
      </c>
      <c r="P19" s="125">
        <f>IFERROR(VLOOKUP(L19,SCD!$B$6:$F$41,4,0)*1000,0)</f>
        <v>0</v>
      </c>
      <c r="Q19" s="126">
        <f t="shared" si="8"/>
        <v>0</v>
      </c>
      <c r="R19" s="135">
        <f>Parâmetros!$D$6</f>
        <v>1</v>
      </c>
      <c r="S19" s="126">
        <f t="shared" si="4"/>
        <v>0</v>
      </c>
      <c r="T19" s="76"/>
    </row>
    <row r="21" spans="2:20" x14ac:dyDescent="0.35">
      <c r="H21" s="63"/>
    </row>
    <row r="23" spans="2:20" x14ac:dyDescent="0.35">
      <c r="B23" s="266" t="s">
        <v>256</v>
      </c>
      <c r="R23" s="28"/>
    </row>
  </sheetData>
  <mergeCells count="7">
    <mergeCell ref="B5:J5"/>
    <mergeCell ref="B6:E6"/>
    <mergeCell ref="B1:T3"/>
    <mergeCell ref="F6:J6"/>
    <mergeCell ref="L5:T5"/>
    <mergeCell ref="L6:O6"/>
    <mergeCell ref="P6:T6"/>
  </mergeCells>
  <phoneticPr fontId="3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/>
  <dimension ref="B1:Z134"/>
  <sheetViews>
    <sheetView showGridLines="0" zoomScale="90" zoomScaleNormal="90" workbookViewId="0">
      <pane ySplit="5" topLeftCell="A6" activePane="bottomLeft" state="frozen"/>
      <selection pane="bottomLeft" activeCell="O14" sqref="O14"/>
    </sheetView>
  </sheetViews>
  <sheetFormatPr defaultRowHeight="14.5" x14ac:dyDescent="0.35"/>
  <cols>
    <col min="1" max="1" width="5" customWidth="1"/>
    <col min="2" max="2" width="11" customWidth="1"/>
    <col min="3" max="3" width="13.453125" bestFit="1" customWidth="1"/>
    <col min="4" max="4" width="10.26953125" style="30" bestFit="1" customWidth="1"/>
    <col min="5" max="6" width="13" style="28" bestFit="1" customWidth="1"/>
    <col min="7" max="7" width="11.453125" style="28" bestFit="1" customWidth="1"/>
    <col min="8" max="8" width="11.7265625" customWidth="1"/>
    <col min="9" max="9" width="17.453125" style="28" customWidth="1"/>
    <col min="10" max="10" width="13.453125" hidden="1" customWidth="1"/>
    <col min="11" max="11" width="11.54296875" hidden="1" customWidth="1"/>
    <col min="12" max="13" width="12.81640625" hidden="1" customWidth="1"/>
    <col min="14" max="14" width="9.81640625" customWidth="1"/>
    <col min="15" max="15" width="9.81640625" bestFit="1" customWidth="1"/>
    <col min="16" max="17" width="9.1796875" customWidth="1"/>
    <col min="18" max="18" width="11.453125" bestFit="1" customWidth="1"/>
    <col min="19" max="19" width="10.26953125" bestFit="1" customWidth="1"/>
    <col min="20" max="20" width="16.453125" customWidth="1"/>
    <col min="21" max="21" width="13" customWidth="1"/>
    <col min="22" max="22" width="13.81640625" customWidth="1"/>
    <col min="23" max="23" width="13.1796875" customWidth="1"/>
    <col min="24" max="24" width="15.26953125" customWidth="1"/>
    <col min="25" max="25" width="11" bestFit="1" customWidth="1"/>
    <col min="26" max="26" width="17.1796875" customWidth="1"/>
  </cols>
  <sheetData>
    <row r="1" spans="2:26" ht="23.25" customHeight="1" x14ac:dyDescent="0.35">
      <c r="B1" s="301" t="s">
        <v>263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spans="2:26" x14ac:dyDescent="0.35"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1"/>
    </row>
    <row r="3" spans="2:26" x14ac:dyDescent="0.35">
      <c r="B3" s="24"/>
      <c r="C3" s="24"/>
      <c r="D3" s="24"/>
      <c r="E3" s="24"/>
      <c r="F3" s="24"/>
      <c r="G3" s="167" t="s">
        <v>77</v>
      </c>
      <c r="H3" s="167">
        <v>0.12</v>
      </c>
      <c r="I3" s="43"/>
      <c r="J3" s="24"/>
      <c r="K3" s="24"/>
      <c r="L3" s="24"/>
      <c r="M3" s="24"/>
      <c r="N3" s="24"/>
      <c r="O3" s="24"/>
      <c r="P3" s="24"/>
    </row>
    <row r="4" spans="2:26" x14ac:dyDescent="0.35">
      <c r="G4" s="316" t="s">
        <v>220</v>
      </c>
      <c r="H4" s="317"/>
      <c r="I4" s="317"/>
      <c r="T4" s="160" t="s">
        <v>140</v>
      </c>
    </row>
    <row r="5" spans="2:26" ht="43.5" x14ac:dyDescent="0.35">
      <c r="B5" s="155" t="s">
        <v>70</v>
      </c>
      <c r="C5" s="155" t="s">
        <v>66</v>
      </c>
      <c r="D5" s="155" t="s">
        <v>192</v>
      </c>
      <c r="E5" s="155" t="s">
        <v>68</v>
      </c>
      <c r="F5" s="92" t="s">
        <v>113</v>
      </c>
      <c r="G5" s="92" t="s">
        <v>98</v>
      </c>
      <c r="H5" s="92" t="s">
        <v>99</v>
      </c>
      <c r="I5" s="92" t="s">
        <v>62</v>
      </c>
      <c r="J5" s="148" t="s">
        <v>97</v>
      </c>
      <c r="K5" s="18" t="s">
        <v>116</v>
      </c>
      <c r="L5" s="20" t="s">
        <v>120</v>
      </c>
      <c r="M5" s="20" t="s">
        <v>135</v>
      </c>
      <c r="T5" s="155" t="s">
        <v>80</v>
      </c>
      <c r="U5" s="74" t="s">
        <v>138</v>
      </c>
      <c r="V5" s="155" t="s">
        <v>142</v>
      </c>
      <c r="W5" s="155" t="s">
        <v>141</v>
      </c>
      <c r="X5" s="155" t="s">
        <v>144</v>
      </c>
      <c r="Y5" s="155" t="s">
        <v>143</v>
      </c>
      <c r="Z5" s="155" t="s">
        <v>139</v>
      </c>
    </row>
    <row r="6" spans="2:26" x14ac:dyDescent="0.35">
      <c r="B6" s="278">
        <v>46053</v>
      </c>
      <c r="C6" s="76">
        <v>167402</v>
      </c>
      <c r="D6" s="125">
        <v>60000</v>
      </c>
      <c r="E6" s="126">
        <v>321000</v>
      </c>
      <c r="F6" s="126" cm="1">
        <f t="array" aca="1" ref="F6" ca="1">+F6:EF6:F41</f>
        <v>0</v>
      </c>
      <c r="G6" s="126">
        <v>67200</v>
      </c>
      <c r="H6" s="126" cm="1">
        <f t="array" aca="1" ref="H6" ca="1">+H6:EH6:H41</f>
        <v>0</v>
      </c>
      <c r="I6" s="126">
        <f>E6-G6</f>
        <v>253800</v>
      </c>
      <c r="T6" s="75">
        <v>46023</v>
      </c>
      <c r="U6" s="159">
        <f>I8</f>
        <v>4.2300000000000004</v>
      </c>
      <c r="V6" s="77">
        <v>46024</v>
      </c>
      <c r="W6" s="77">
        <v>46030</v>
      </c>
      <c r="X6" s="159">
        <f t="shared" ref="X6:X17" si="0">IFERROR(VLOOKUP(T6,$B$6:$R$41,8,FALSE),0)</f>
        <v>4.2300000000000004</v>
      </c>
      <c r="Y6" s="75" t="str">
        <f>IF(V6&gt;W6,"ATRASO",IF(V6="","NÃO HÁ NF","OK"))</f>
        <v>OK</v>
      </c>
      <c r="Z6" s="75"/>
    </row>
    <row r="7" spans="2:26" x14ac:dyDescent="0.35">
      <c r="B7" s="278">
        <v>46053</v>
      </c>
      <c r="C7" s="115" t="s">
        <v>74</v>
      </c>
      <c r="D7" s="127">
        <f>SUM(D6:D6)</f>
        <v>60000</v>
      </c>
      <c r="E7" s="128">
        <f>SUM(E6:E6)</f>
        <v>321000</v>
      </c>
      <c r="F7" s="128">
        <f t="shared" ref="F7:H7" ca="1" si="1">SUM(F6:F6)</f>
        <v>0</v>
      </c>
      <c r="G7" s="128">
        <f t="shared" si="1"/>
        <v>67200</v>
      </c>
      <c r="H7" s="128">
        <f t="shared" ca="1" si="1"/>
        <v>0</v>
      </c>
      <c r="I7" s="128">
        <f>SUM(I6:I6)</f>
        <v>253800</v>
      </c>
      <c r="T7" s="75">
        <v>46054</v>
      </c>
      <c r="U7" s="159">
        <f>IF(Z7="SIM",X7,IF(W7&gt;=V7,X7,IF(W7&gt;=V6,X6,U6)))</f>
        <v>4.2300000000000004</v>
      </c>
      <c r="V7" s="77" t="s">
        <v>245</v>
      </c>
      <c r="W7" s="77">
        <v>46060</v>
      </c>
      <c r="X7" s="159">
        <f t="shared" si="0"/>
        <v>0</v>
      </c>
      <c r="Y7" s="75" t="str">
        <f>IF(V7&gt;W7,"ATRASO",IF(V7="","NÃO HÁ NF","OK"))</f>
        <v>ATRASO</v>
      </c>
      <c r="Z7" s="75"/>
    </row>
    <row r="8" spans="2:26" x14ac:dyDescent="0.35">
      <c r="B8" s="279">
        <v>46023</v>
      </c>
      <c r="C8" s="215" t="s">
        <v>81</v>
      </c>
      <c r="D8" s="215"/>
      <c r="E8" s="215"/>
      <c r="F8" s="215"/>
      <c r="G8" s="215"/>
      <c r="H8" s="215"/>
      <c r="I8" s="129">
        <f>I7/D7</f>
        <v>4.2300000000000004</v>
      </c>
      <c r="T8" s="75">
        <v>46082</v>
      </c>
      <c r="U8" s="159">
        <f t="shared" ref="U8:U13" si="2">IF(Z8="SIM",X8,IF(W8&gt;=V8,X8,IF(W8&gt;=V7,X7,U7)))</f>
        <v>4.2300000000000004</v>
      </c>
      <c r="V8" s="77" t="s">
        <v>245</v>
      </c>
      <c r="W8" s="77">
        <v>46090</v>
      </c>
      <c r="X8" s="159">
        <f t="shared" si="0"/>
        <v>0</v>
      </c>
      <c r="Y8" s="75" t="str">
        <f t="shared" ref="Y8:Y17" si="3">IF(V8&gt;W8,"ATRASO",IF(V8="","NÃO HÁ NF","OK"))</f>
        <v>ATRASO</v>
      </c>
      <c r="Z8" s="75"/>
    </row>
    <row r="9" spans="2:26" x14ac:dyDescent="0.35">
      <c r="B9" s="278">
        <v>46081</v>
      </c>
      <c r="C9" s="76"/>
      <c r="D9" s="125"/>
      <c r="E9" s="126"/>
      <c r="F9" s="126"/>
      <c r="G9" s="126"/>
      <c r="H9" s="126"/>
      <c r="I9" s="126"/>
      <c r="T9" s="75">
        <v>46113</v>
      </c>
      <c r="U9" s="159">
        <f t="shared" si="2"/>
        <v>4.2300000000000004</v>
      </c>
      <c r="V9" s="77" t="s">
        <v>245</v>
      </c>
      <c r="W9" s="77">
        <v>46120</v>
      </c>
      <c r="X9" s="159">
        <f t="shared" si="0"/>
        <v>0</v>
      </c>
      <c r="Y9" s="75" t="str">
        <f t="shared" si="3"/>
        <v>ATRASO</v>
      </c>
      <c r="Z9" s="75"/>
    </row>
    <row r="10" spans="2:26" x14ac:dyDescent="0.35">
      <c r="B10" s="278">
        <v>46081</v>
      </c>
      <c r="C10" s="115" t="s">
        <v>74</v>
      </c>
      <c r="D10" s="127">
        <f>SUM(D9:D9)</f>
        <v>0</v>
      </c>
      <c r="E10" s="128">
        <f>SUM(E9:E9)</f>
        <v>0</v>
      </c>
      <c r="F10" s="128">
        <f t="shared" ref="F10:I10" si="4">SUM(F9:F9)</f>
        <v>0</v>
      </c>
      <c r="G10" s="128">
        <f t="shared" si="4"/>
        <v>0</v>
      </c>
      <c r="H10" s="128">
        <f t="shared" si="4"/>
        <v>0</v>
      </c>
      <c r="I10" s="128">
        <f t="shared" si="4"/>
        <v>0</v>
      </c>
      <c r="J10" s="123"/>
      <c r="K10" s="129">
        <f>SUM(K6:K9)</f>
        <v>0</v>
      </c>
      <c r="T10" s="75">
        <v>46143</v>
      </c>
      <c r="U10" s="159">
        <f t="shared" si="2"/>
        <v>4.2300000000000004</v>
      </c>
      <c r="V10" s="77" t="s">
        <v>245</v>
      </c>
      <c r="W10" s="77">
        <v>46150</v>
      </c>
      <c r="X10" s="159">
        <f t="shared" si="0"/>
        <v>0</v>
      </c>
      <c r="Y10" s="75" t="str">
        <f t="shared" si="3"/>
        <v>ATRASO</v>
      </c>
      <c r="Z10" s="75"/>
    </row>
    <row r="11" spans="2:26" x14ac:dyDescent="0.35">
      <c r="B11" s="279">
        <v>46054</v>
      </c>
      <c r="C11" s="215" t="s">
        <v>81</v>
      </c>
      <c r="D11" s="215"/>
      <c r="E11" s="215"/>
      <c r="F11" s="215"/>
      <c r="G11" s="215"/>
      <c r="H11" s="215"/>
      <c r="I11" s="215"/>
      <c r="J11" s="156"/>
      <c r="K11" s="130">
        <f>IFERROR(K10/F10,0)</f>
        <v>0</v>
      </c>
      <c r="T11" s="75">
        <v>46174</v>
      </c>
      <c r="U11" s="159">
        <f t="shared" si="2"/>
        <v>4.2300000000000004</v>
      </c>
      <c r="V11" s="77" t="s">
        <v>245</v>
      </c>
      <c r="W11" s="77">
        <v>46180</v>
      </c>
      <c r="X11" s="159">
        <f t="shared" si="0"/>
        <v>0</v>
      </c>
      <c r="Y11" s="75" t="str">
        <f t="shared" si="3"/>
        <v>ATRASO</v>
      </c>
      <c r="Z11" s="75"/>
    </row>
    <row r="12" spans="2:26" x14ac:dyDescent="0.35">
      <c r="B12" s="278">
        <v>46112</v>
      </c>
      <c r="C12" s="76"/>
      <c r="D12" s="125"/>
      <c r="E12" s="126"/>
      <c r="F12" s="126"/>
      <c r="G12" s="126"/>
      <c r="H12" s="126"/>
      <c r="I12" s="126"/>
      <c r="T12" s="75">
        <v>46204</v>
      </c>
      <c r="U12" s="159">
        <f t="shared" si="2"/>
        <v>4.2300000000000004</v>
      </c>
      <c r="V12" s="77" t="s">
        <v>245</v>
      </c>
      <c r="W12" s="77">
        <v>46210</v>
      </c>
      <c r="X12" s="159">
        <f t="shared" si="0"/>
        <v>0</v>
      </c>
      <c r="Y12" s="75" t="str">
        <f t="shared" si="3"/>
        <v>ATRASO</v>
      </c>
      <c r="Z12" s="75"/>
    </row>
    <row r="13" spans="2:26" x14ac:dyDescent="0.35">
      <c r="B13" s="278">
        <v>46112</v>
      </c>
      <c r="C13" s="115" t="s">
        <v>74</v>
      </c>
      <c r="D13" s="127">
        <f t="shared" ref="D13:E13" si="5">SUM(D12:D12)</f>
        <v>0</v>
      </c>
      <c r="E13" s="128">
        <f t="shared" si="5"/>
        <v>0</v>
      </c>
      <c r="F13" s="128">
        <f t="shared" ref="F13" si="6">SUM(F12:F12)</f>
        <v>0</v>
      </c>
      <c r="G13" s="128">
        <f t="shared" ref="G13" si="7">SUM(G12:G12)</f>
        <v>0</v>
      </c>
      <c r="H13" s="128">
        <f t="shared" ref="H13" si="8">SUM(H12:H12)</f>
        <v>0</v>
      </c>
      <c r="I13" s="128">
        <f t="shared" ref="I13" si="9">SUM(I12:I12)</f>
        <v>0</v>
      </c>
      <c r="T13" s="75">
        <v>46235</v>
      </c>
      <c r="U13" s="159">
        <f t="shared" si="2"/>
        <v>4.2300000000000004</v>
      </c>
      <c r="V13" s="77" t="s">
        <v>245</v>
      </c>
      <c r="W13" s="77">
        <v>46240</v>
      </c>
      <c r="X13" s="159">
        <f t="shared" si="0"/>
        <v>0</v>
      </c>
      <c r="Y13" s="75" t="str">
        <f t="shared" si="3"/>
        <v>ATRASO</v>
      </c>
      <c r="Z13" s="75"/>
    </row>
    <row r="14" spans="2:26" x14ac:dyDescent="0.35">
      <c r="B14" s="279">
        <v>46082</v>
      </c>
      <c r="C14" s="215" t="s">
        <v>81</v>
      </c>
      <c r="D14" s="215"/>
      <c r="E14" s="215"/>
      <c r="F14" s="215"/>
      <c r="G14" s="215"/>
      <c r="H14" s="215"/>
      <c r="I14" s="215"/>
      <c r="T14" s="75">
        <v>46266</v>
      </c>
      <c r="U14" s="159">
        <f>IF(Z14="SIM",X14,IF(W14&gt;=V14,X14,IF(W14&gt;=V13,X13,U13)))</f>
        <v>4.2300000000000004</v>
      </c>
      <c r="V14" s="77" t="s">
        <v>245</v>
      </c>
      <c r="W14" s="77">
        <v>46270</v>
      </c>
      <c r="X14" s="159">
        <f t="shared" si="0"/>
        <v>0</v>
      </c>
      <c r="Y14" s="75" t="str">
        <f t="shared" si="3"/>
        <v>ATRASO</v>
      </c>
      <c r="Z14" s="75"/>
    </row>
    <row r="15" spans="2:26" x14ac:dyDescent="0.35">
      <c r="B15" s="278">
        <v>46140</v>
      </c>
      <c r="C15" s="76"/>
      <c r="D15" s="125"/>
      <c r="E15" s="126"/>
      <c r="F15" s="126"/>
      <c r="G15" s="126"/>
      <c r="H15" s="126"/>
      <c r="I15" s="126"/>
      <c r="T15" s="75">
        <v>46296</v>
      </c>
      <c r="U15" s="159">
        <f>IF(Z15="SIM",X15,IF(W15&gt;=V15,X15,IF(W15&gt;=V14,X14,U14)))</f>
        <v>4.2300000000000004</v>
      </c>
      <c r="V15" s="77" t="s">
        <v>245</v>
      </c>
      <c r="W15" s="77">
        <v>46300</v>
      </c>
      <c r="X15" s="159">
        <f t="shared" si="0"/>
        <v>0</v>
      </c>
      <c r="Y15" s="75" t="str">
        <f t="shared" si="3"/>
        <v>ATRASO</v>
      </c>
      <c r="Z15" s="75"/>
    </row>
    <row r="16" spans="2:26" x14ac:dyDescent="0.35">
      <c r="B16" s="278">
        <v>46140</v>
      </c>
      <c r="C16" s="115" t="s">
        <v>74</v>
      </c>
      <c r="D16" s="127">
        <f t="shared" ref="D16:E16" si="10">SUM(D15:D15)</f>
        <v>0</v>
      </c>
      <c r="E16" s="128">
        <f t="shared" si="10"/>
        <v>0</v>
      </c>
      <c r="F16" s="128">
        <f t="shared" ref="F16" si="11">SUM(F15:F15)</f>
        <v>0</v>
      </c>
      <c r="G16" s="128">
        <f t="shared" ref="G16" si="12">SUM(G15:G15)</f>
        <v>0</v>
      </c>
      <c r="H16" s="128">
        <f t="shared" ref="H16" si="13">SUM(H15:H15)</f>
        <v>0</v>
      </c>
      <c r="I16" s="128">
        <f t="shared" ref="I16" si="14">SUM(I15:I15)</f>
        <v>0</v>
      </c>
      <c r="T16" s="75">
        <v>46327</v>
      </c>
      <c r="U16" s="173">
        <f t="shared" ref="U16" si="15">IF(Z14="SIM",X16,IF(W16&gt;=V16,X16,IF(W16&gt;V15,X15,U15)))</f>
        <v>4.2300000000000004</v>
      </c>
      <c r="V16" s="77" t="s">
        <v>245</v>
      </c>
      <c r="W16" s="77">
        <v>46330</v>
      </c>
      <c r="X16" s="159">
        <f t="shared" si="0"/>
        <v>0</v>
      </c>
      <c r="Y16" s="75" t="str">
        <f t="shared" si="3"/>
        <v>ATRASO</v>
      </c>
      <c r="Z16" s="75"/>
    </row>
    <row r="17" spans="2:26" x14ac:dyDescent="0.35">
      <c r="B17" s="279">
        <v>46113</v>
      </c>
      <c r="C17" s="215" t="s">
        <v>81</v>
      </c>
      <c r="D17" s="215"/>
      <c r="E17" s="215"/>
      <c r="F17" s="215"/>
      <c r="G17" s="215"/>
      <c r="H17" s="215"/>
      <c r="I17" s="215"/>
      <c r="T17" s="75">
        <v>46357</v>
      </c>
      <c r="U17" s="173">
        <f>IF(Z15="SIM",X17,IF(W17&gt;=V17,X17,IF(W17&gt;V16,X16,U16)))</f>
        <v>4.2300000000000004</v>
      </c>
      <c r="V17" s="77" t="s">
        <v>245</v>
      </c>
      <c r="W17" s="77">
        <v>46360</v>
      </c>
      <c r="X17" s="159">
        <f t="shared" si="0"/>
        <v>0</v>
      </c>
      <c r="Y17" s="75" t="str">
        <f t="shared" si="3"/>
        <v>ATRASO</v>
      </c>
      <c r="Z17" s="75"/>
    </row>
    <row r="18" spans="2:26" x14ac:dyDescent="0.35">
      <c r="B18" s="278">
        <v>46173</v>
      </c>
      <c r="C18" s="76"/>
      <c r="D18" s="125"/>
      <c r="E18" s="125"/>
      <c r="F18" s="125"/>
      <c r="G18" s="125"/>
      <c r="H18" s="125"/>
      <c r="I18" s="125"/>
    </row>
    <row r="19" spans="2:26" x14ac:dyDescent="0.35">
      <c r="B19" s="278">
        <v>46173</v>
      </c>
      <c r="C19" s="115" t="s">
        <v>74</v>
      </c>
      <c r="D19" s="127">
        <f t="shared" ref="D19:E19" si="16">SUM(D18:D18)</f>
        <v>0</v>
      </c>
      <c r="E19" s="128">
        <f t="shared" si="16"/>
        <v>0</v>
      </c>
      <c r="F19" s="128">
        <f t="shared" ref="F19" si="17">SUM(F18:F18)</f>
        <v>0</v>
      </c>
      <c r="G19" s="128">
        <f t="shared" ref="G19" si="18">SUM(G18:G18)</f>
        <v>0</v>
      </c>
      <c r="H19" s="128">
        <f t="shared" ref="H19" si="19">SUM(H18:H18)</f>
        <v>0</v>
      </c>
      <c r="I19" s="128">
        <f t="shared" ref="I19" si="20">SUM(I18:I18)</f>
        <v>0</v>
      </c>
      <c r="N19" s="68"/>
    </row>
    <row r="20" spans="2:26" x14ac:dyDescent="0.35">
      <c r="B20" s="279">
        <v>46143</v>
      </c>
      <c r="C20" s="215" t="s">
        <v>81</v>
      </c>
      <c r="D20" s="215"/>
      <c r="E20" s="215"/>
      <c r="F20" s="215"/>
      <c r="G20" s="215"/>
      <c r="H20" s="215"/>
      <c r="I20" s="215"/>
      <c r="J20" s="149">
        <v>43832</v>
      </c>
      <c r="K20" s="17">
        <v>43806</v>
      </c>
      <c r="L20" s="22" t="str">
        <f>IF("SIM"=M20,I13,IF(OR(K20&gt;J20,K20=J20),I13,"Fora do Prazo"))</f>
        <v>Fora do Prazo</v>
      </c>
      <c r="M20" s="23"/>
    </row>
    <row r="21" spans="2:26" ht="15" customHeight="1" x14ac:dyDescent="0.35">
      <c r="B21" s="278">
        <v>46201</v>
      </c>
      <c r="C21" s="76"/>
      <c r="D21" s="125"/>
      <c r="E21" s="126"/>
      <c r="F21" s="126"/>
      <c r="G21" s="126"/>
      <c r="H21" s="126"/>
      <c r="I21" s="126"/>
    </row>
    <row r="22" spans="2:26" x14ac:dyDescent="0.35">
      <c r="B22" s="278">
        <v>46201</v>
      </c>
      <c r="C22" s="115" t="s">
        <v>74</v>
      </c>
      <c r="D22" s="127">
        <f t="shared" ref="D22:E22" si="21">SUM(D21:D21)</f>
        <v>0</v>
      </c>
      <c r="E22" s="128">
        <f t="shared" si="21"/>
        <v>0</v>
      </c>
      <c r="F22" s="128">
        <f t="shared" ref="F22" si="22">SUM(F21:F21)</f>
        <v>0</v>
      </c>
      <c r="G22" s="128">
        <f t="shared" ref="G22" si="23">SUM(G21:G21)</f>
        <v>0</v>
      </c>
      <c r="H22" s="128">
        <f t="shared" ref="H22" si="24">SUM(H21:H21)</f>
        <v>0</v>
      </c>
      <c r="I22" s="128">
        <f t="shared" ref="I22" si="25">SUM(I21:I21)</f>
        <v>0</v>
      </c>
    </row>
    <row r="23" spans="2:26" x14ac:dyDescent="0.35">
      <c r="B23" s="279">
        <v>46174</v>
      </c>
      <c r="C23" s="215" t="s">
        <v>81</v>
      </c>
      <c r="D23" s="215"/>
      <c r="E23" s="215"/>
      <c r="F23" s="215"/>
      <c r="G23" s="215"/>
      <c r="H23" s="215"/>
      <c r="I23" s="215"/>
    </row>
    <row r="24" spans="2:26" x14ac:dyDescent="0.35">
      <c r="B24" s="278">
        <v>46234</v>
      </c>
      <c r="C24" s="76"/>
      <c r="D24" s="125"/>
      <c r="E24" s="126"/>
      <c r="F24" s="126"/>
      <c r="G24" s="126"/>
      <c r="H24" s="126"/>
      <c r="I24" s="126"/>
    </row>
    <row r="25" spans="2:26" x14ac:dyDescent="0.35">
      <c r="B25" s="278">
        <v>46234</v>
      </c>
      <c r="C25" s="115" t="s">
        <v>74</v>
      </c>
      <c r="D25" s="127">
        <f t="shared" ref="D25:E25" si="26">SUM(D24:D24)</f>
        <v>0</v>
      </c>
      <c r="E25" s="128">
        <f t="shared" si="26"/>
        <v>0</v>
      </c>
      <c r="F25" s="128">
        <f t="shared" ref="F25" si="27">SUM(F24:F24)</f>
        <v>0</v>
      </c>
      <c r="G25" s="128">
        <f t="shared" ref="G25" si="28">SUM(G24:G24)</f>
        <v>0</v>
      </c>
      <c r="H25" s="128">
        <f t="shared" ref="H25" si="29">SUM(H24:H24)</f>
        <v>0</v>
      </c>
      <c r="I25" s="128">
        <f t="shared" ref="I25" si="30">SUM(I24:I24)</f>
        <v>0</v>
      </c>
    </row>
    <row r="26" spans="2:26" x14ac:dyDescent="0.35">
      <c r="B26" s="279">
        <v>46204</v>
      </c>
      <c r="C26" s="215" t="s">
        <v>81</v>
      </c>
      <c r="D26" s="215"/>
      <c r="E26" s="215"/>
      <c r="F26" s="215"/>
      <c r="G26" s="215"/>
      <c r="H26" s="215"/>
      <c r="I26" s="215"/>
      <c r="N26" s="239"/>
    </row>
    <row r="27" spans="2:26" x14ac:dyDescent="0.35">
      <c r="B27" s="278">
        <v>46262</v>
      </c>
      <c r="C27" s="76"/>
      <c r="D27" s="125"/>
      <c r="E27" s="126"/>
      <c r="F27" s="126"/>
      <c r="G27" s="126"/>
      <c r="H27" s="126"/>
      <c r="I27" s="126"/>
    </row>
    <row r="28" spans="2:26" x14ac:dyDescent="0.35">
      <c r="B28" s="278">
        <v>46262</v>
      </c>
      <c r="C28" s="115" t="s">
        <v>74</v>
      </c>
      <c r="D28" s="127">
        <f t="shared" ref="D28:E28" si="31">SUM(D27:D27)</f>
        <v>0</v>
      </c>
      <c r="E28" s="128">
        <f t="shared" si="31"/>
        <v>0</v>
      </c>
      <c r="F28" s="128">
        <f t="shared" ref="F28" si="32">SUM(F27:F27)</f>
        <v>0</v>
      </c>
      <c r="G28" s="128">
        <f t="shared" ref="G28" si="33">SUM(G27:G27)</f>
        <v>0</v>
      </c>
      <c r="H28" s="128">
        <f t="shared" ref="H28" si="34">SUM(H27:H27)</f>
        <v>0</v>
      </c>
      <c r="I28" s="128">
        <f t="shared" ref="I28" si="35">SUM(I27:I27)</f>
        <v>0</v>
      </c>
    </row>
    <row r="29" spans="2:26" x14ac:dyDescent="0.35">
      <c r="B29" s="279">
        <v>46235</v>
      </c>
      <c r="C29" s="215" t="s">
        <v>81</v>
      </c>
      <c r="D29" s="215"/>
      <c r="E29" s="215"/>
      <c r="F29" s="215"/>
      <c r="G29" s="215"/>
      <c r="H29" s="215"/>
      <c r="I29" s="215"/>
    </row>
    <row r="30" spans="2:26" x14ac:dyDescent="0.35">
      <c r="B30" s="278">
        <v>46295</v>
      </c>
      <c r="C30" s="76"/>
      <c r="D30" s="125"/>
      <c r="E30" s="126"/>
      <c r="F30" s="126"/>
      <c r="G30" s="126"/>
      <c r="H30" s="126"/>
      <c r="I30" s="126"/>
    </row>
    <row r="31" spans="2:26" x14ac:dyDescent="0.35">
      <c r="B31" s="278">
        <v>46295</v>
      </c>
      <c r="C31" s="115" t="s">
        <v>74</v>
      </c>
      <c r="D31" s="127">
        <f t="shared" ref="D31:E31" si="36">SUM(D30:D30)</f>
        <v>0</v>
      </c>
      <c r="E31" s="128">
        <f t="shared" si="36"/>
        <v>0</v>
      </c>
      <c r="F31" s="128">
        <f t="shared" ref="F31" si="37">SUM(F30:F30)</f>
        <v>0</v>
      </c>
      <c r="G31" s="128">
        <f t="shared" ref="G31" si="38">SUM(G30:G30)</f>
        <v>0</v>
      </c>
      <c r="H31" s="128">
        <f t="shared" ref="H31" si="39">SUM(H30:H30)</f>
        <v>0</v>
      </c>
      <c r="I31" s="128">
        <f t="shared" ref="I31" si="40">SUM(I30:I30)</f>
        <v>0</v>
      </c>
    </row>
    <row r="32" spans="2:26" x14ac:dyDescent="0.35">
      <c r="B32" s="279">
        <v>46266</v>
      </c>
      <c r="C32" s="215" t="s">
        <v>81</v>
      </c>
      <c r="D32" s="215"/>
      <c r="E32" s="215"/>
      <c r="F32" s="215"/>
      <c r="G32" s="215"/>
      <c r="H32" s="215"/>
      <c r="I32" s="215"/>
    </row>
    <row r="33" spans="2:13" x14ac:dyDescent="0.35">
      <c r="B33" s="278">
        <v>46323</v>
      </c>
      <c r="C33" s="76"/>
      <c r="D33" s="125"/>
      <c r="E33" s="126"/>
      <c r="F33" s="126"/>
      <c r="G33" s="126"/>
      <c r="H33" s="126"/>
      <c r="I33" s="126"/>
      <c r="J33" s="149">
        <v>43864</v>
      </c>
      <c r="K33" s="17">
        <v>43838</v>
      </c>
    </row>
    <row r="34" spans="2:13" x14ac:dyDescent="0.35">
      <c r="B34" s="278">
        <v>46323</v>
      </c>
      <c r="C34" s="115" t="s">
        <v>74</v>
      </c>
      <c r="D34" s="127">
        <f t="shared" ref="D34:E34" si="41">SUM(D33:D33)</f>
        <v>0</v>
      </c>
      <c r="E34" s="128">
        <f t="shared" si="41"/>
        <v>0</v>
      </c>
      <c r="F34" s="128">
        <f t="shared" ref="F34" si="42">SUM(F33:F33)</f>
        <v>0</v>
      </c>
      <c r="G34" s="128">
        <f t="shared" ref="G34" si="43">SUM(G33:G33)</f>
        <v>0</v>
      </c>
      <c r="H34" s="128">
        <f t="shared" ref="H34" si="44">SUM(H33:H33)</f>
        <v>0</v>
      </c>
      <c r="I34" s="128">
        <f t="shared" ref="I34" si="45">SUM(I33:I33)</f>
        <v>0</v>
      </c>
      <c r="J34" s="149">
        <v>43864</v>
      </c>
      <c r="K34" s="17">
        <v>43838</v>
      </c>
      <c r="L34" s="41">
        <f>IF("SIM"=M34,#REF!,IF(K34&gt;J34,#REF!,IF(K34&gt;J20,I13,L20)))</f>
        <v>0</v>
      </c>
      <c r="M34" s="42"/>
    </row>
    <row r="35" spans="2:13" x14ac:dyDescent="0.35">
      <c r="B35" s="279">
        <v>46296</v>
      </c>
      <c r="C35" s="215" t="s">
        <v>81</v>
      </c>
      <c r="D35" s="215"/>
      <c r="E35" s="215"/>
      <c r="F35" s="215"/>
      <c r="G35" s="215"/>
      <c r="H35" s="215"/>
      <c r="I35" s="215"/>
      <c r="J35" s="218"/>
      <c r="K35" s="218"/>
      <c r="L35" s="42"/>
      <c r="M35" s="42"/>
    </row>
    <row r="36" spans="2:13" x14ac:dyDescent="0.35">
      <c r="B36" s="278">
        <v>46356</v>
      </c>
      <c r="C36" s="76"/>
      <c r="D36" s="125"/>
      <c r="E36" s="126"/>
      <c r="F36" s="126"/>
      <c r="G36" s="126"/>
      <c r="H36" s="126"/>
      <c r="I36" s="126"/>
      <c r="J36" s="218"/>
      <c r="K36" s="218"/>
      <c r="L36" s="42"/>
      <c r="M36" s="42"/>
    </row>
    <row r="37" spans="2:13" x14ac:dyDescent="0.35">
      <c r="B37" s="278">
        <v>46356</v>
      </c>
      <c r="C37" s="115" t="s">
        <v>74</v>
      </c>
      <c r="D37" s="127">
        <f t="shared" ref="D37:E37" si="46">SUM(D36:D36)</f>
        <v>0</v>
      </c>
      <c r="E37" s="128">
        <f t="shared" si="46"/>
        <v>0</v>
      </c>
      <c r="F37" s="128">
        <f t="shared" ref="F37" si="47">SUM(F36:F36)</f>
        <v>0</v>
      </c>
      <c r="G37" s="128">
        <f t="shared" ref="G37" si="48">SUM(G36:G36)</f>
        <v>0</v>
      </c>
      <c r="H37" s="128">
        <f t="shared" ref="H37" si="49">SUM(H36:H36)</f>
        <v>0</v>
      </c>
      <c r="I37" s="128">
        <f t="shared" ref="I37" si="50">SUM(I36:I36)</f>
        <v>0</v>
      </c>
      <c r="J37" s="218"/>
      <c r="K37" s="218"/>
      <c r="L37" s="42"/>
      <c r="M37" s="42"/>
    </row>
    <row r="38" spans="2:13" ht="15" customHeight="1" x14ac:dyDescent="0.35">
      <c r="B38" s="279">
        <v>46356</v>
      </c>
      <c r="C38" s="215" t="s">
        <v>81</v>
      </c>
      <c r="D38" s="215"/>
      <c r="E38" s="215"/>
      <c r="F38" s="215"/>
      <c r="G38" s="215"/>
      <c r="H38" s="215"/>
      <c r="I38" s="215"/>
    </row>
    <row r="39" spans="2:13" x14ac:dyDescent="0.35">
      <c r="B39" s="278">
        <v>46384</v>
      </c>
      <c r="C39" s="76"/>
      <c r="D39" s="125"/>
      <c r="E39" s="126"/>
      <c r="F39" s="126"/>
      <c r="G39" s="126"/>
      <c r="H39" s="126"/>
      <c r="I39" s="126"/>
    </row>
    <row r="40" spans="2:13" x14ac:dyDescent="0.35">
      <c r="B40" s="278">
        <v>46384</v>
      </c>
      <c r="C40" s="115" t="s">
        <v>74</v>
      </c>
      <c r="D40" s="127">
        <f t="shared" ref="D40:E40" si="51">SUM(D39:D39)</f>
        <v>0</v>
      </c>
      <c r="E40" s="128">
        <f t="shared" si="51"/>
        <v>0</v>
      </c>
      <c r="F40" s="128">
        <f t="shared" ref="F40" si="52">SUM(F39:F39)</f>
        <v>0</v>
      </c>
      <c r="G40" s="128">
        <f t="shared" ref="G40" si="53">SUM(G39:G39)</f>
        <v>0</v>
      </c>
      <c r="H40" s="128">
        <f t="shared" ref="H40" si="54">SUM(H39:H39)</f>
        <v>0</v>
      </c>
      <c r="I40" s="128">
        <f t="shared" ref="I40" si="55">SUM(I39:I39)</f>
        <v>0</v>
      </c>
    </row>
    <row r="41" spans="2:13" x14ac:dyDescent="0.35">
      <c r="B41" s="279">
        <v>46384</v>
      </c>
      <c r="C41" s="215" t="s">
        <v>81</v>
      </c>
      <c r="D41" s="215"/>
      <c r="E41" s="215"/>
      <c r="F41" s="215"/>
      <c r="G41" s="215"/>
      <c r="H41" s="215"/>
      <c r="I41" s="215"/>
    </row>
    <row r="42" spans="2:13" ht="15" customHeight="1" x14ac:dyDescent="0.35">
      <c r="B42" s="5"/>
    </row>
    <row r="43" spans="2:13" ht="15" customHeight="1" x14ac:dyDescent="0.35">
      <c r="B43" s="266" t="s">
        <v>256</v>
      </c>
    </row>
    <row r="44" spans="2:13" ht="15" customHeight="1" x14ac:dyDescent="0.35">
      <c r="B44" s="5"/>
    </row>
    <row r="45" spans="2:13" ht="15" customHeight="1" x14ac:dyDescent="0.35">
      <c r="B45" s="5"/>
    </row>
    <row r="46" spans="2:13" ht="15" customHeight="1" x14ac:dyDescent="0.35">
      <c r="B46" s="5"/>
    </row>
    <row r="47" spans="2:13" ht="15" customHeight="1" x14ac:dyDescent="0.35">
      <c r="B47" s="5"/>
    </row>
    <row r="48" spans="2:13" ht="15" customHeight="1" x14ac:dyDescent="0.35">
      <c r="B48" s="5"/>
    </row>
    <row r="49" spans="2:13" ht="15" customHeight="1" x14ac:dyDescent="0.35">
      <c r="B49" s="5"/>
    </row>
    <row r="50" spans="2:13" ht="15" customHeight="1" x14ac:dyDescent="0.35">
      <c r="B50" s="5"/>
    </row>
    <row r="51" spans="2:13" ht="15" customHeight="1" x14ac:dyDescent="0.35">
      <c r="B51" s="5"/>
    </row>
    <row r="52" spans="2:13" ht="15" customHeight="1" x14ac:dyDescent="0.35">
      <c r="B52" s="5"/>
    </row>
    <row r="53" spans="2:13" x14ac:dyDescent="0.35">
      <c r="B53" s="5"/>
      <c r="J53" s="17">
        <v>43927</v>
      </c>
      <c r="K53" s="17">
        <v>43928</v>
      </c>
    </row>
    <row r="54" spans="2:13" x14ac:dyDescent="0.35">
      <c r="B54" s="5"/>
      <c r="J54" s="17">
        <v>43927</v>
      </c>
      <c r="K54" s="17">
        <v>43928</v>
      </c>
      <c r="L54" s="41">
        <f>IF("SIM"=M54,I25,IF(K54&gt;J54,I25,IF(K54&gt;#REF!,I21,#REF!)))</f>
        <v>0</v>
      </c>
      <c r="M54" s="42"/>
    </row>
    <row r="55" spans="2:13" x14ac:dyDescent="0.35">
      <c r="B55" s="5"/>
    </row>
    <row r="56" spans="2:13" x14ac:dyDescent="0.35">
      <c r="B56" s="5"/>
    </row>
    <row r="57" spans="2:13" x14ac:dyDescent="0.35">
      <c r="B57" s="5"/>
    </row>
    <row r="58" spans="2:13" x14ac:dyDescent="0.35">
      <c r="B58" s="5"/>
    </row>
    <row r="59" spans="2:13" x14ac:dyDescent="0.35">
      <c r="B59" s="5"/>
    </row>
    <row r="60" spans="2:13" x14ac:dyDescent="0.35">
      <c r="B60" s="5"/>
    </row>
    <row r="61" spans="2:13" x14ac:dyDescent="0.35">
      <c r="B61" s="5"/>
    </row>
    <row r="62" spans="2:13" x14ac:dyDescent="0.35">
      <c r="B62" s="5"/>
    </row>
    <row r="63" spans="2:13" x14ac:dyDescent="0.35">
      <c r="B63" s="5"/>
      <c r="J63" s="17">
        <v>43958</v>
      </c>
      <c r="K63" s="17">
        <v>43959</v>
      </c>
    </row>
    <row r="64" spans="2:13" x14ac:dyDescent="0.35">
      <c r="B64" s="5"/>
      <c r="J64" s="17">
        <v>43958</v>
      </c>
      <c r="K64" s="17">
        <v>43959</v>
      </c>
      <c r="L64" s="41">
        <f>IF("SIM"=M64,I30,IF(K64&gt;J64,I30,IF(K64&gt;J54,I25,L54)))</f>
        <v>0</v>
      </c>
      <c r="M64" s="42"/>
    </row>
    <row r="65" spans="2:13" x14ac:dyDescent="0.35">
      <c r="B65" s="5"/>
    </row>
    <row r="66" spans="2:13" x14ac:dyDescent="0.35">
      <c r="B66" s="5"/>
      <c r="J66" s="17" t="s">
        <v>121</v>
      </c>
      <c r="K66" s="17">
        <v>43989</v>
      </c>
    </row>
    <row r="67" spans="2:13" x14ac:dyDescent="0.35">
      <c r="B67" s="5"/>
      <c r="J67" s="17" t="s">
        <v>121</v>
      </c>
      <c r="K67" s="17">
        <v>43989</v>
      </c>
      <c r="L67" s="41">
        <f>IF("SIM"=M67,I34,IF(K67&gt;J67,I34,IF(K67&gt;J64,I30,L64)))</f>
        <v>0</v>
      </c>
      <c r="M67" s="42"/>
    </row>
    <row r="68" spans="2:13" x14ac:dyDescent="0.35">
      <c r="B68" s="5"/>
    </row>
    <row r="69" spans="2:13" x14ac:dyDescent="0.35">
      <c r="B69" s="5"/>
      <c r="J69" s="17" t="s">
        <v>121</v>
      </c>
      <c r="K69" s="17">
        <v>44019</v>
      </c>
    </row>
    <row r="70" spans="2:13" x14ac:dyDescent="0.35">
      <c r="B70" s="5"/>
      <c r="J70" s="17" t="s">
        <v>121</v>
      </c>
      <c r="K70" s="17">
        <v>44019</v>
      </c>
      <c r="L70" s="41">
        <f>IF("SIM"=M70,I38,IF(K70&gt;J70,I38,IF(K70&gt;J67,I34,L67)))</f>
        <v>0</v>
      </c>
      <c r="M70" s="42"/>
    </row>
    <row r="71" spans="2:13" x14ac:dyDescent="0.35">
      <c r="B71" s="5"/>
    </row>
    <row r="72" spans="2:13" x14ac:dyDescent="0.35">
      <c r="B72" s="5"/>
      <c r="J72" s="17" t="s">
        <v>121</v>
      </c>
      <c r="K72" s="17">
        <v>44050</v>
      </c>
    </row>
    <row r="73" spans="2:13" x14ac:dyDescent="0.35">
      <c r="B73" s="5"/>
      <c r="J73" s="17" t="s">
        <v>121</v>
      </c>
      <c r="K73" s="17">
        <v>44050</v>
      </c>
      <c r="L73" s="41">
        <f>IF("SIM"=M73,#REF!,IF(K73&gt;J73,#REF!,IF(K73&gt;J70,I38,L70)))</f>
        <v>0</v>
      </c>
      <c r="M73" s="42"/>
    </row>
    <row r="74" spans="2:13" ht="15" customHeight="1" x14ac:dyDescent="0.35">
      <c r="B74" s="5"/>
    </row>
    <row r="75" spans="2:13" x14ac:dyDescent="0.35">
      <c r="B75" s="5"/>
      <c r="J75" s="17" t="s">
        <v>121</v>
      </c>
      <c r="K75" s="17">
        <v>44082</v>
      </c>
    </row>
    <row r="76" spans="2:13" x14ac:dyDescent="0.35">
      <c r="B76" s="5"/>
      <c r="J76" s="17" t="s">
        <v>121</v>
      </c>
      <c r="K76" s="17">
        <v>44082</v>
      </c>
      <c r="L76" s="41">
        <f>IF("SIM"=M76,#REF!,IF(K76&gt;J76,#REF!,IF(K76&gt;J73,#REF!,L73)))</f>
        <v>0</v>
      </c>
      <c r="M76" s="42"/>
    </row>
    <row r="77" spans="2:13" x14ac:dyDescent="0.35">
      <c r="B77" s="5"/>
    </row>
    <row r="78" spans="2:13" x14ac:dyDescent="0.35">
      <c r="B78" s="5"/>
      <c r="J78" s="17" t="s">
        <v>121</v>
      </c>
      <c r="K78" s="17">
        <v>44111</v>
      </c>
    </row>
    <row r="79" spans="2:13" x14ac:dyDescent="0.35">
      <c r="B79" s="5"/>
      <c r="J79" s="17" t="s">
        <v>121</v>
      </c>
      <c r="K79" s="17">
        <v>44111</v>
      </c>
      <c r="L79" s="41">
        <f>IF("SIM"=M79,#REF!,IF(K79&gt;J79,#REF!,IF(K79&gt;J76,#REF!,L76)))</f>
        <v>0</v>
      </c>
      <c r="M79" s="42"/>
    </row>
    <row r="80" spans="2:13" x14ac:dyDescent="0.35">
      <c r="B80" s="5"/>
    </row>
    <row r="81" spans="2:13" x14ac:dyDescent="0.35">
      <c r="B81" s="5"/>
      <c r="J81" s="17" t="s">
        <v>121</v>
      </c>
      <c r="K81" s="17">
        <v>44144</v>
      </c>
    </row>
    <row r="82" spans="2:13" x14ac:dyDescent="0.35">
      <c r="B82" s="5"/>
      <c r="J82" s="17" t="s">
        <v>121</v>
      </c>
      <c r="K82" s="17">
        <v>44144</v>
      </c>
      <c r="L82" s="41">
        <f>IF("SIM"=M82,#REF!,IF(K82&gt;J82,#REF!,IF(K82&gt;J79,#REF!,L79)))</f>
        <v>0</v>
      </c>
      <c r="M82" s="42"/>
    </row>
    <row r="83" spans="2:13" x14ac:dyDescent="0.35">
      <c r="B83" s="5"/>
    </row>
    <row r="84" spans="2:13" x14ac:dyDescent="0.35">
      <c r="B84" s="5"/>
      <c r="J84" s="17" t="s">
        <v>121</v>
      </c>
      <c r="K84" s="17">
        <v>44172</v>
      </c>
    </row>
    <row r="85" spans="2:13" x14ac:dyDescent="0.35">
      <c r="B85" s="5"/>
      <c r="J85" s="17" t="s">
        <v>121</v>
      </c>
      <c r="K85" s="17">
        <v>44172</v>
      </c>
      <c r="L85" s="41">
        <f>IF("SIM"=M85,#REF!,IF(K85&gt;J85,#REF!,IF(K85&gt;J82,#REF!,L82)))</f>
        <v>0</v>
      </c>
      <c r="M85" s="42"/>
    </row>
    <row r="86" spans="2:13" x14ac:dyDescent="0.35">
      <c r="B86" s="5"/>
    </row>
    <row r="87" spans="2:13" x14ac:dyDescent="0.35">
      <c r="B87" s="5"/>
      <c r="J87" s="17" t="s">
        <v>121</v>
      </c>
      <c r="K87" s="17">
        <v>44204</v>
      </c>
    </row>
    <row r="88" spans="2:13" x14ac:dyDescent="0.35">
      <c r="B88" s="5"/>
      <c r="J88" s="17" t="s">
        <v>121</v>
      </c>
      <c r="K88" s="17">
        <v>44204</v>
      </c>
      <c r="L88" s="41">
        <f>IF("SIM"=M88,#REF!,IF(K88&gt;J88,#REF!,IF(K88&gt;J85,#REF!,L85)))</f>
        <v>0</v>
      </c>
      <c r="M88" s="42"/>
    </row>
    <row r="89" spans="2:13" ht="15" customHeight="1" x14ac:dyDescent="0.35">
      <c r="B89" s="5"/>
    </row>
    <row r="90" spans="2:13" x14ac:dyDescent="0.35">
      <c r="B90" s="5"/>
    </row>
    <row r="91" spans="2:13" x14ac:dyDescent="0.35">
      <c r="B91" s="5"/>
    </row>
    <row r="92" spans="2:13" x14ac:dyDescent="0.35">
      <c r="B92" s="5"/>
    </row>
    <row r="93" spans="2:13" x14ac:dyDescent="0.35">
      <c r="B93" s="5"/>
    </row>
    <row r="94" spans="2:13" x14ac:dyDescent="0.35">
      <c r="B94" s="5"/>
    </row>
    <row r="95" spans="2:13" x14ac:dyDescent="0.35">
      <c r="B95" s="5"/>
    </row>
    <row r="104" ht="15" customHeight="1" x14ac:dyDescent="0.35"/>
    <row r="119" ht="15" customHeight="1" x14ac:dyDescent="0.35"/>
    <row r="134" ht="15" customHeight="1" x14ac:dyDescent="0.35"/>
  </sheetData>
  <mergeCells count="2">
    <mergeCell ref="B1:Z2"/>
    <mergeCell ref="G4:I4"/>
  </mergeCells>
  <phoneticPr fontId="3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/>
  <dimension ref="A1:O25"/>
  <sheetViews>
    <sheetView showGridLines="0" topLeftCell="A4" zoomScaleNormal="100" workbookViewId="0">
      <selection activeCell="H10" sqref="H10"/>
    </sheetView>
  </sheetViews>
  <sheetFormatPr defaultRowHeight="14.5" x14ac:dyDescent="0.35"/>
  <cols>
    <col min="1" max="1" width="4" customWidth="1"/>
    <col min="8" max="8" width="10.54296875" bestFit="1" customWidth="1"/>
  </cols>
  <sheetData>
    <row r="1" spans="1:15" x14ac:dyDescent="0.35">
      <c r="B1" s="301" t="s">
        <v>274</v>
      </c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</row>
    <row r="2" spans="1:15" x14ac:dyDescent="0.35">
      <c r="B2" s="301"/>
      <c r="C2" s="301"/>
      <c r="D2" s="301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</row>
    <row r="3" spans="1:15" ht="21" customHeight="1" x14ac:dyDescent="0.35">
      <c r="B3" s="301"/>
      <c r="C3" s="301"/>
      <c r="D3" s="301"/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</row>
    <row r="5" spans="1:15" ht="15" thickBot="1" x14ac:dyDescent="0.4">
      <c r="C5" s="161"/>
      <c r="D5" s="168" t="s">
        <v>77</v>
      </c>
      <c r="E5" s="169"/>
      <c r="F5" s="170">
        <v>1</v>
      </c>
      <c r="H5" s="12"/>
      <c r="I5" s="35"/>
      <c r="J5" s="36"/>
    </row>
    <row r="6" spans="1:15" ht="15" thickBot="1" x14ac:dyDescent="0.4">
      <c r="C6" s="318" t="s">
        <v>136</v>
      </c>
      <c r="D6" s="319"/>
      <c r="E6" s="319"/>
      <c r="F6" s="320"/>
      <c r="H6" s="318" t="s">
        <v>137</v>
      </c>
      <c r="I6" s="319"/>
      <c r="J6" s="319"/>
      <c r="K6" s="320"/>
    </row>
    <row r="7" spans="1:15" s="3" customFormat="1" ht="43.5" x14ac:dyDescent="0.35">
      <c r="B7" s="155" t="s">
        <v>35</v>
      </c>
      <c r="C7" s="153" t="s">
        <v>94</v>
      </c>
      <c r="D7" s="153" t="s">
        <v>95</v>
      </c>
      <c r="E7" s="105" t="s">
        <v>60</v>
      </c>
      <c r="F7" s="105" t="s">
        <v>93</v>
      </c>
      <c r="G7" s="34"/>
      <c r="H7" s="152" t="s">
        <v>96</v>
      </c>
      <c r="I7" s="92" t="s">
        <v>61</v>
      </c>
      <c r="J7" s="92" t="s">
        <v>78</v>
      </c>
      <c r="K7" s="74" t="s">
        <v>62</v>
      </c>
    </row>
    <row r="8" spans="1:15" x14ac:dyDescent="0.35">
      <c r="A8" s="229" t="s">
        <v>243</v>
      </c>
      <c r="B8" s="103">
        <v>46023</v>
      </c>
      <c r="C8" s="104">
        <v>1.17</v>
      </c>
      <c r="D8" s="104">
        <v>1.17</v>
      </c>
      <c r="E8" s="104">
        <f t="shared" ref="E8:E9" si="0">IFERROR(AVERAGE(C8:D8),0)</f>
        <v>1.17</v>
      </c>
      <c r="F8" s="104">
        <f t="shared" ref="F8" si="1">E8*$F$5</f>
        <v>1.17</v>
      </c>
      <c r="H8" s="249">
        <v>5.1959999999999997</v>
      </c>
      <c r="I8" s="249">
        <f t="shared" ref="I8" si="2">H8-F8</f>
        <v>4.0259999999999998</v>
      </c>
      <c r="J8" s="250">
        <f t="shared" ref="J8" si="3">I8*0.0925</f>
        <v>0.37240499999999999</v>
      </c>
      <c r="K8" s="104">
        <f>I8</f>
        <v>4.0259999999999998</v>
      </c>
    </row>
    <row r="9" spans="1:15" x14ac:dyDescent="0.35">
      <c r="A9" s="229"/>
      <c r="B9" s="103">
        <v>46054</v>
      </c>
      <c r="C9" s="104">
        <v>1.17</v>
      </c>
      <c r="D9" s="104">
        <v>1.17</v>
      </c>
      <c r="E9" s="104">
        <f t="shared" si="0"/>
        <v>1.17</v>
      </c>
      <c r="F9" s="104">
        <f>E9*$F$5</f>
        <v>1.17</v>
      </c>
      <c r="H9" s="249">
        <v>5.3369999999999997</v>
      </c>
      <c r="I9" s="249">
        <f>H9-F9</f>
        <v>4.1669999999999998</v>
      </c>
      <c r="J9" s="250">
        <f t="shared" ref="J9:J12" si="4">I9*0.0925</f>
        <v>0.3854475</v>
      </c>
      <c r="K9" s="104">
        <f>I9</f>
        <v>4.1669999999999998</v>
      </c>
    </row>
    <row r="10" spans="1:15" x14ac:dyDescent="0.35">
      <c r="B10" s="103">
        <v>46082</v>
      </c>
      <c r="C10" s="104">
        <v>1.17</v>
      </c>
      <c r="D10" s="104">
        <v>1.17</v>
      </c>
      <c r="E10" s="104">
        <f t="shared" ref="E10:E16" si="5">IFERROR(AVERAGE(C10:D10),0)</f>
        <v>1.17</v>
      </c>
      <c r="F10" s="104">
        <f t="shared" ref="F10:F11" si="6">E10*$F$5</f>
        <v>1.17</v>
      </c>
      <c r="H10" s="249">
        <f>'ANP Óleo Comb'!M12</f>
        <v>0</v>
      </c>
      <c r="I10" s="249">
        <f>H10-F10</f>
        <v>-1.17</v>
      </c>
      <c r="J10" s="250">
        <f t="shared" si="4"/>
        <v>-0.10822499999999999</v>
      </c>
      <c r="K10" s="104">
        <f>I10</f>
        <v>-1.17</v>
      </c>
    </row>
    <row r="11" spans="1:15" x14ac:dyDescent="0.35">
      <c r="B11" s="103">
        <v>46113</v>
      </c>
      <c r="C11" s="104">
        <v>1.17</v>
      </c>
      <c r="D11" s="104">
        <v>1.17</v>
      </c>
      <c r="E11" s="104">
        <f t="shared" si="5"/>
        <v>1.17</v>
      </c>
      <c r="F11" s="104">
        <f t="shared" si="6"/>
        <v>1.17</v>
      </c>
      <c r="H11" s="249">
        <f>'ANP Óleo Comb'!M14</f>
        <v>0</v>
      </c>
      <c r="I11" s="249">
        <f t="shared" ref="I11" si="7">H11-F11</f>
        <v>-1.17</v>
      </c>
      <c r="J11" s="250">
        <f t="shared" si="4"/>
        <v>-0.10822499999999999</v>
      </c>
      <c r="K11" s="104">
        <f t="shared" ref="K11" si="8">I11</f>
        <v>-1.17</v>
      </c>
    </row>
    <row r="12" spans="1:15" x14ac:dyDescent="0.35">
      <c r="B12" s="103">
        <v>46143</v>
      </c>
      <c r="C12" s="104">
        <v>1.17</v>
      </c>
      <c r="D12" s="104">
        <v>1.17</v>
      </c>
      <c r="E12" s="104">
        <f t="shared" si="5"/>
        <v>1.17</v>
      </c>
      <c r="F12" s="104">
        <f>E12*$F$5</f>
        <v>1.17</v>
      </c>
      <c r="H12" s="249">
        <f>'ANP Óleo Comb'!M16</f>
        <v>0</v>
      </c>
      <c r="I12" s="249">
        <f>H12-F12</f>
        <v>-1.17</v>
      </c>
      <c r="J12" s="250">
        <f t="shared" si="4"/>
        <v>-0.10822499999999999</v>
      </c>
      <c r="K12" s="104">
        <f>I12</f>
        <v>-1.17</v>
      </c>
    </row>
    <row r="13" spans="1:15" x14ac:dyDescent="0.35">
      <c r="B13" s="103">
        <v>46174</v>
      </c>
      <c r="C13" s="104">
        <v>1.17</v>
      </c>
      <c r="D13" s="104">
        <v>1.17</v>
      </c>
      <c r="E13" s="104">
        <f t="shared" si="5"/>
        <v>1.17</v>
      </c>
      <c r="F13" s="104">
        <f t="shared" ref="F13:F16" si="9">E13*100%</f>
        <v>1.17</v>
      </c>
      <c r="H13" s="249">
        <f>'ANP Óleo Comb'!M15</f>
        <v>0</v>
      </c>
      <c r="I13" s="249">
        <f>H13-F13</f>
        <v>-1.17</v>
      </c>
      <c r="J13" s="250">
        <f t="shared" ref="J13:J17" si="10">I13*0.0925</f>
        <v>-0.10822499999999999</v>
      </c>
      <c r="K13" s="104">
        <f>I13</f>
        <v>-1.17</v>
      </c>
    </row>
    <row r="14" spans="1:15" x14ac:dyDescent="0.35">
      <c r="B14" s="103">
        <v>46204</v>
      </c>
      <c r="C14" s="104">
        <v>1.17</v>
      </c>
      <c r="D14" s="104">
        <v>1.17</v>
      </c>
      <c r="E14" s="104">
        <f t="shared" si="5"/>
        <v>1.17</v>
      </c>
      <c r="F14" s="104">
        <f t="shared" si="9"/>
        <v>1.17</v>
      </c>
      <c r="H14" s="249">
        <f>'ANP Óleo Comb'!M16</f>
        <v>0</v>
      </c>
      <c r="I14" s="249">
        <f t="shared" ref="I14:I20" si="11">H14-F14</f>
        <v>-1.17</v>
      </c>
      <c r="J14" s="250">
        <f t="shared" si="10"/>
        <v>-0.10822499999999999</v>
      </c>
      <c r="K14" s="104">
        <f t="shared" ref="K14:K20" si="12">I14</f>
        <v>-1.17</v>
      </c>
    </row>
    <row r="15" spans="1:15" x14ac:dyDescent="0.35">
      <c r="B15" s="103">
        <v>46235</v>
      </c>
      <c r="C15" s="104">
        <v>1.17</v>
      </c>
      <c r="D15" s="104">
        <v>1.17</v>
      </c>
      <c r="E15" s="104">
        <f t="shared" si="5"/>
        <v>1.17</v>
      </c>
      <c r="F15" s="104">
        <f t="shared" si="9"/>
        <v>1.17</v>
      </c>
      <c r="H15" s="249">
        <f>'ANP Óleo Comb'!M18</f>
        <v>0</v>
      </c>
      <c r="I15" s="249">
        <f t="shared" si="11"/>
        <v>-1.17</v>
      </c>
      <c r="J15" s="250">
        <f t="shared" si="10"/>
        <v>-0.10822499999999999</v>
      </c>
      <c r="K15" s="104">
        <f t="shared" si="12"/>
        <v>-1.17</v>
      </c>
    </row>
    <row r="16" spans="1:15" x14ac:dyDescent="0.35">
      <c r="B16" s="103">
        <v>46266</v>
      </c>
      <c r="C16" s="104">
        <v>1.17</v>
      </c>
      <c r="D16" s="104">
        <v>1.17</v>
      </c>
      <c r="E16" s="104">
        <f t="shared" si="5"/>
        <v>1.17</v>
      </c>
      <c r="F16" s="104">
        <f t="shared" si="9"/>
        <v>1.17</v>
      </c>
      <c r="H16" s="249">
        <f>'ANP Óleo Comb'!M20</f>
        <v>0</v>
      </c>
      <c r="I16" s="249">
        <f t="shared" si="11"/>
        <v>-1.17</v>
      </c>
      <c r="J16" s="250">
        <f t="shared" si="10"/>
        <v>-0.10822499999999999</v>
      </c>
      <c r="K16" s="104">
        <f t="shared" si="12"/>
        <v>-1.17</v>
      </c>
    </row>
    <row r="17" spans="1:11" x14ac:dyDescent="0.35">
      <c r="B17" s="103">
        <v>46296</v>
      </c>
      <c r="C17" s="104">
        <v>1.17</v>
      </c>
      <c r="D17" s="104">
        <v>1.17</v>
      </c>
      <c r="E17" s="104">
        <f t="shared" ref="E17" si="13">IFERROR(AVERAGE(C17:D17),0)</f>
        <v>1.17</v>
      </c>
      <c r="F17" s="104">
        <f t="shared" ref="F17" si="14">E17*100%</f>
        <v>1.17</v>
      </c>
      <c r="H17" s="249">
        <f>'ANP Óleo Comb'!M19</f>
        <v>0</v>
      </c>
      <c r="I17" s="249">
        <f t="shared" si="11"/>
        <v>-1.17</v>
      </c>
      <c r="J17" s="250">
        <f t="shared" si="10"/>
        <v>-0.10822499999999999</v>
      </c>
      <c r="K17" s="104">
        <f t="shared" si="12"/>
        <v>-1.17</v>
      </c>
    </row>
    <row r="18" spans="1:11" x14ac:dyDescent="0.35">
      <c r="B18" s="103">
        <v>46327</v>
      </c>
      <c r="C18" s="104">
        <v>1.17</v>
      </c>
      <c r="D18" s="104">
        <v>1.17</v>
      </c>
      <c r="E18" s="104">
        <f t="shared" ref="E18" si="15">IFERROR(AVERAGE(C18:D18),0)</f>
        <v>1.17</v>
      </c>
      <c r="F18" s="104">
        <f t="shared" ref="F18" si="16">E18*100%</f>
        <v>1.17</v>
      </c>
      <c r="H18" s="249">
        <f>'ANP Óleo Comb'!M21</f>
        <v>0</v>
      </c>
      <c r="I18" s="249">
        <f t="shared" si="11"/>
        <v>-1.17</v>
      </c>
      <c r="J18" s="250">
        <f t="shared" ref="J18:J20" si="17">I18*0.0925</f>
        <v>-0.10822499999999999</v>
      </c>
      <c r="K18" s="104">
        <f t="shared" si="12"/>
        <v>-1.17</v>
      </c>
    </row>
    <row r="19" spans="1:11" x14ac:dyDescent="0.35">
      <c r="B19" s="103">
        <v>46357</v>
      </c>
      <c r="C19" s="104">
        <v>1.17</v>
      </c>
      <c r="D19" s="104">
        <v>1.17</v>
      </c>
      <c r="E19" s="104">
        <f t="shared" ref="E19" si="18">IFERROR(AVERAGE(C19:D19),0)</f>
        <v>1.17</v>
      </c>
      <c r="F19" s="104">
        <f t="shared" ref="F19" si="19">E19*100%</f>
        <v>1.17</v>
      </c>
      <c r="H19" s="249">
        <f>'ANP Óleo Comb'!M23</f>
        <v>0</v>
      </c>
      <c r="I19" s="249">
        <f t="shared" si="11"/>
        <v>-1.17</v>
      </c>
      <c r="J19" s="250">
        <f t="shared" si="17"/>
        <v>-0.10822499999999999</v>
      </c>
      <c r="K19" s="104">
        <f t="shared" si="12"/>
        <v>-1.17</v>
      </c>
    </row>
    <row r="20" spans="1:11" x14ac:dyDescent="0.35">
      <c r="B20" s="103">
        <v>46388</v>
      </c>
      <c r="C20" s="104">
        <v>1.17</v>
      </c>
      <c r="D20" s="104">
        <v>1.17</v>
      </c>
      <c r="E20" s="104">
        <f t="shared" ref="E20" si="20">IFERROR(AVERAGE(C20:D20),0)</f>
        <v>1.17</v>
      </c>
      <c r="F20" s="104">
        <f t="shared" ref="F20" si="21">E20*100%</f>
        <v>1.17</v>
      </c>
      <c r="H20" s="249">
        <f>'ANP Óleo Comb'!M22</f>
        <v>0</v>
      </c>
      <c r="I20" s="249">
        <f t="shared" si="11"/>
        <v>-1.17</v>
      </c>
      <c r="J20" s="250">
        <f t="shared" si="17"/>
        <v>-0.10822499999999999</v>
      </c>
      <c r="K20" s="104">
        <f t="shared" si="12"/>
        <v>-1.17</v>
      </c>
    </row>
    <row r="21" spans="1:11" x14ac:dyDescent="0.35">
      <c r="A21" s="229"/>
    </row>
    <row r="22" spans="1:11" x14ac:dyDescent="0.35">
      <c r="A22" s="229" t="s">
        <v>243</v>
      </c>
      <c r="B22" t="s">
        <v>273</v>
      </c>
    </row>
    <row r="25" spans="1:11" x14ac:dyDescent="0.35">
      <c r="B25" s="266" t="s">
        <v>256</v>
      </c>
    </row>
  </sheetData>
  <mergeCells count="3">
    <mergeCell ref="B1:O3"/>
    <mergeCell ref="C6:F6"/>
    <mergeCell ref="H6:K6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9:E12 E13:E20" formulaRange="1"/>
    <ignoredError sqref="H1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1"/>
  <dimension ref="B1:P132"/>
  <sheetViews>
    <sheetView showGridLines="0" zoomScale="85" zoomScaleNormal="85" workbookViewId="0">
      <pane ySplit="5" topLeftCell="A9" activePane="bottomLeft" state="frozen"/>
      <selection pane="bottomLeft" activeCell="H21" sqref="H21"/>
    </sheetView>
  </sheetViews>
  <sheetFormatPr defaultRowHeight="14.5" x14ac:dyDescent="0.35"/>
  <cols>
    <col min="1" max="1" width="3.453125" customWidth="1"/>
    <col min="2" max="2" width="15" style="276" bestFit="1" customWidth="1"/>
    <col min="3" max="3" width="11.54296875" bestFit="1" customWidth="1"/>
    <col min="4" max="4" width="12.81640625" style="30" bestFit="1" customWidth="1"/>
    <col min="5" max="5" width="16.26953125" style="28" bestFit="1" customWidth="1"/>
    <col min="6" max="6" width="13.54296875" style="28" bestFit="1" customWidth="1"/>
    <col min="7" max="7" width="12.36328125" style="28" bestFit="1" customWidth="1"/>
    <col min="8" max="8" width="16.26953125" style="28" bestFit="1" customWidth="1"/>
    <col min="10" max="10" width="15.81640625" bestFit="1" customWidth="1"/>
    <col min="11" max="11" width="15.81640625" style="38" customWidth="1"/>
    <col min="12" max="12" width="14.1796875" bestFit="1" customWidth="1"/>
    <col min="13" max="13" width="11.54296875" bestFit="1" customWidth="1"/>
    <col min="14" max="14" width="14.453125" style="37" bestFit="1" customWidth="1"/>
    <col min="15" max="15" width="14.453125" style="8" bestFit="1" customWidth="1"/>
    <col min="16" max="16" width="17" bestFit="1" customWidth="1"/>
  </cols>
  <sheetData>
    <row r="1" spans="2:16" ht="15" customHeight="1" x14ac:dyDescent="0.35">
      <c r="B1" s="321" t="s">
        <v>263</v>
      </c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</row>
    <row r="2" spans="2:16" x14ac:dyDescent="0.35"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</row>
    <row r="3" spans="2:16" x14ac:dyDescent="0.35"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</row>
    <row r="4" spans="2:16" x14ac:dyDescent="0.35">
      <c r="F4" s="92" t="s">
        <v>82</v>
      </c>
      <c r="G4" s="150">
        <v>0</v>
      </c>
      <c r="J4" s="1" t="s">
        <v>140</v>
      </c>
    </row>
    <row r="5" spans="2:16" ht="30" customHeight="1" x14ac:dyDescent="0.35">
      <c r="B5" s="277" t="s">
        <v>80</v>
      </c>
      <c r="C5" s="155" t="s">
        <v>66</v>
      </c>
      <c r="D5" s="155" t="s">
        <v>73</v>
      </c>
      <c r="E5" s="155" t="s">
        <v>68</v>
      </c>
      <c r="F5" s="92" t="s">
        <v>71</v>
      </c>
      <c r="G5" s="92" t="s">
        <v>72</v>
      </c>
      <c r="H5" s="92" t="s">
        <v>62</v>
      </c>
      <c r="J5" s="157" t="s">
        <v>80</v>
      </c>
      <c r="K5" s="131" t="s">
        <v>138</v>
      </c>
      <c r="L5" s="157" t="s">
        <v>142</v>
      </c>
      <c r="M5" s="157" t="s">
        <v>141</v>
      </c>
      <c r="N5" s="157" t="s">
        <v>144</v>
      </c>
      <c r="O5" s="157" t="s">
        <v>143</v>
      </c>
      <c r="P5" s="157" t="s">
        <v>135</v>
      </c>
    </row>
    <row r="6" spans="2:16" x14ac:dyDescent="0.35">
      <c r="B6" s="278">
        <v>46053</v>
      </c>
      <c r="C6" s="76">
        <v>167743</v>
      </c>
      <c r="D6" s="125">
        <v>29540</v>
      </c>
      <c r="E6" s="126">
        <v>129680.6</v>
      </c>
      <c r="F6" s="126">
        <v>1891.3</v>
      </c>
      <c r="G6" s="126">
        <v>0</v>
      </c>
      <c r="H6" s="126">
        <f t="shared" ref="H6:H16" si="0">E6-F6-G6</f>
        <v>127789.3</v>
      </c>
      <c r="J6" s="214">
        <v>46023</v>
      </c>
      <c r="K6" s="133">
        <f>H19</f>
        <v>4.3259749721436531</v>
      </c>
      <c r="L6" s="134">
        <v>46062</v>
      </c>
      <c r="M6" s="77">
        <v>46061</v>
      </c>
      <c r="N6" s="133">
        <f t="shared" ref="N6:N17" si="1">IFERROR(VLOOKUP(J6,$B$18:$H$51,7,FALSE),0)</f>
        <v>4.3259749721436531</v>
      </c>
      <c r="O6" s="132" t="str">
        <f t="shared" ref="O6:O11" si="2">IF(L6&gt;M6,"ATRASO",IF(L6="","NÃO HÁ NF","Ok"))</f>
        <v>ATRASO</v>
      </c>
      <c r="P6" s="216"/>
    </row>
    <row r="7" spans="2:16" x14ac:dyDescent="0.35">
      <c r="B7" s="278">
        <v>46053</v>
      </c>
      <c r="C7" s="76">
        <v>167742</v>
      </c>
      <c r="D7" s="125">
        <v>13840</v>
      </c>
      <c r="E7" s="126">
        <v>60757.599999999999</v>
      </c>
      <c r="F7" s="126">
        <v>886.11</v>
      </c>
      <c r="G7" s="126">
        <v>0</v>
      </c>
      <c r="H7" s="126">
        <f t="shared" si="0"/>
        <v>59871.49</v>
      </c>
      <c r="J7" s="214">
        <v>46054</v>
      </c>
      <c r="K7" s="133">
        <f t="shared" ref="K7:K17" si="3">IF(P7="SIM",N7,IF(M7&gt;=L7,N7,IF(M7&gt;=L6,N6,K6)))</f>
        <v>4.3259749721436531</v>
      </c>
      <c r="L7" s="134" t="s">
        <v>244</v>
      </c>
      <c r="M7" s="77">
        <v>46089</v>
      </c>
      <c r="N7" s="133">
        <f t="shared" si="1"/>
        <v>0</v>
      </c>
      <c r="O7" s="132" t="str">
        <f t="shared" si="2"/>
        <v>ATRASO</v>
      </c>
      <c r="P7" s="216"/>
    </row>
    <row r="8" spans="2:16" x14ac:dyDescent="0.35">
      <c r="B8" s="278">
        <v>46053</v>
      </c>
      <c r="C8" s="76">
        <v>168297</v>
      </c>
      <c r="D8" s="125">
        <v>26730</v>
      </c>
      <c r="E8" s="126">
        <v>117344.7</v>
      </c>
      <c r="F8" s="126">
        <v>1711.39</v>
      </c>
      <c r="G8" s="126">
        <v>0</v>
      </c>
      <c r="H8" s="126">
        <f t="shared" si="0"/>
        <v>115633.31</v>
      </c>
      <c r="J8" s="214">
        <v>46082</v>
      </c>
      <c r="K8" s="133">
        <f t="shared" si="3"/>
        <v>4.3259749721436531</v>
      </c>
      <c r="L8" s="134" t="s">
        <v>244</v>
      </c>
      <c r="M8" s="77">
        <v>46120</v>
      </c>
      <c r="N8" s="133">
        <f t="shared" si="1"/>
        <v>0</v>
      </c>
      <c r="O8" s="132" t="str">
        <f t="shared" si="2"/>
        <v>ATRASO</v>
      </c>
      <c r="P8" s="216"/>
    </row>
    <row r="9" spans="2:16" x14ac:dyDescent="0.35">
      <c r="B9" s="278">
        <v>46053</v>
      </c>
      <c r="C9" s="76">
        <v>168337</v>
      </c>
      <c r="D9" s="125">
        <v>13470</v>
      </c>
      <c r="E9" s="126">
        <v>59133.3</v>
      </c>
      <c r="F9" s="126">
        <v>862.42</v>
      </c>
      <c r="G9" s="126">
        <v>0</v>
      </c>
      <c r="H9" s="126">
        <f t="shared" si="0"/>
        <v>58270.880000000005</v>
      </c>
      <c r="J9" s="214">
        <v>46113</v>
      </c>
      <c r="K9" s="133">
        <f t="shared" si="3"/>
        <v>4.3259749721436531</v>
      </c>
      <c r="L9" s="134" t="s">
        <v>244</v>
      </c>
      <c r="M9" s="77">
        <v>46150</v>
      </c>
      <c r="N9" s="133">
        <f t="shared" si="1"/>
        <v>0</v>
      </c>
      <c r="O9" s="132" t="str">
        <f t="shared" si="2"/>
        <v>ATRASO</v>
      </c>
      <c r="P9" s="216"/>
    </row>
    <row r="10" spans="2:16" x14ac:dyDescent="0.35">
      <c r="B10" s="278">
        <v>46053</v>
      </c>
      <c r="C10" s="76">
        <v>168352</v>
      </c>
      <c r="D10" s="125">
        <v>27280</v>
      </c>
      <c r="E10" s="126">
        <v>119759.2</v>
      </c>
      <c r="F10" s="126">
        <v>1746.6</v>
      </c>
      <c r="G10" s="126">
        <v>0</v>
      </c>
      <c r="H10" s="126">
        <f t="shared" si="0"/>
        <v>118012.59999999999</v>
      </c>
      <c r="J10" s="214">
        <v>46143</v>
      </c>
      <c r="K10" s="133">
        <f>IF(P10="SIM",N10,IF(M10&gt;=L10,N10,IF(M10&gt;=L9,N9,K9)))</f>
        <v>4.3259749721436531</v>
      </c>
      <c r="L10" s="134" t="s">
        <v>244</v>
      </c>
      <c r="M10" s="77">
        <v>46181</v>
      </c>
      <c r="N10" s="133">
        <f t="shared" si="1"/>
        <v>0</v>
      </c>
      <c r="O10" s="132" t="str">
        <f t="shared" si="2"/>
        <v>ATRASO</v>
      </c>
      <c r="P10" s="216"/>
    </row>
    <row r="11" spans="2:16" x14ac:dyDescent="0.35">
      <c r="B11" s="278">
        <v>46053</v>
      </c>
      <c r="C11" s="76">
        <v>168394</v>
      </c>
      <c r="D11" s="125">
        <v>13640</v>
      </c>
      <c r="E11" s="126">
        <v>59879.6</v>
      </c>
      <c r="F11" s="126">
        <v>873.3</v>
      </c>
      <c r="G11" s="126">
        <v>0</v>
      </c>
      <c r="H11" s="126">
        <f t="shared" si="0"/>
        <v>59006.299999999996</v>
      </c>
      <c r="J11" s="214">
        <v>46174</v>
      </c>
      <c r="K11" s="133">
        <f t="shared" si="3"/>
        <v>4.3259749721436531</v>
      </c>
      <c r="L11" s="134" t="s">
        <v>244</v>
      </c>
      <c r="M11" s="77">
        <v>46211</v>
      </c>
      <c r="N11" s="133">
        <f t="shared" si="1"/>
        <v>0</v>
      </c>
      <c r="O11" s="132" t="str">
        <f t="shared" si="2"/>
        <v>ATRASO</v>
      </c>
      <c r="P11" s="216"/>
    </row>
    <row r="12" spans="2:16" x14ac:dyDescent="0.35">
      <c r="B12" s="278">
        <v>46053</v>
      </c>
      <c r="C12" s="76">
        <v>168428</v>
      </c>
      <c r="D12" s="125">
        <v>27640</v>
      </c>
      <c r="E12" s="126">
        <v>121339.6</v>
      </c>
      <c r="F12" s="126">
        <v>1769.65</v>
      </c>
      <c r="G12" s="126">
        <v>0</v>
      </c>
      <c r="H12" s="126">
        <f t="shared" si="0"/>
        <v>119569.95000000001</v>
      </c>
      <c r="J12" s="214">
        <v>46204</v>
      </c>
      <c r="K12" s="133">
        <f t="shared" si="3"/>
        <v>4.3259749721436531</v>
      </c>
      <c r="L12" s="134" t="s">
        <v>244</v>
      </c>
      <c r="M12" s="77">
        <v>46242</v>
      </c>
      <c r="N12" s="133">
        <f t="shared" si="1"/>
        <v>0</v>
      </c>
      <c r="O12" s="132" t="str">
        <f t="shared" ref="O12:O17" si="4">IF(L12&gt;M12,"ATRASO",IF(L12="","NÃO HÁ NF","Ok"))</f>
        <v>ATRASO</v>
      </c>
      <c r="P12" s="216"/>
    </row>
    <row r="13" spans="2:16" x14ac:dyDescent="0.35">
      <c r="B13" s="278">
        <v>46053</v>
      </c>
      <c r="C13" s="76">
        <v>168507</v>
      </c>
      <c r="D13" s="125">
        <v>13370</v>
      </c>
      <c r="E13" s="126">
        <v>58694.3</v>
      </c>
      <c r="F13" s="126">
        <v>856.01</v>
      </c>
      <c r="G13" s="126">
        <v>0</v>
      </c>
      <c r="H13" s="126">
        <f t="shared" si="0"/>
        <v>57838.29</v>
      </c>
      <c r="J13" s="214">
        <v>46235</v>
      </c>
      <c r="K13" s="133">
        <f t="shared" si="3"/>
        <v>4.3259749721436531</v>
      </c>
      <c r="L13" s="134" t="s">
        <v>244</v>
      </c>
      <c r="M13" s="77">
        <v>46273</v>
      </c>
      <c r="N13" s="133">
        <f t="shared" si="1"/>
        <v>0</v>
      </c>
      <c r="O13" s="132" t="str">
        <f t="shared" si="4"/>
        <v>ATRASO</v>
      </c>
      <c r="P13" s="216"/>
    </row>
    <row r="14" spans="2:16" x14ac:dyDescent="0.35">
      <c r="B14" s="278">
        <v>46053</v>
      </c>
      <c r="C14" s="76">
        <v>168614</v>
      </c>
      <c r="D14" s="125">
        <v>13540</v>
      </c>
      <c r="E14" s="126">
        <v>59440.6</v>
      </c>
      <c r="F14" s="126">
        <v>866.9</v>
      </c>
      <c r="G14" s="126">
        <v>0</v>
      </c>
      <c r="H14" s="126">
        <f t="shared" si="0"/>
        <v>58573.7</v>
      </c>
      <c r="J14" s="214">
        <v>46266</v>
      </c>
      <c r="K14" s="133">
        <f t="shared" si="3"/>
        <v>4.3259749721436531</v>
      </c>
      <c r="L14" s="134" t="s">
        <v>244</v>
      </c>
      <c r="M14" s="77">
        <v>46303</v>
      </c>
      <c r="N14" s="133">
        <f t="shared" si="1"/>
        <v>0</v>
      </c>
      <c r="O14" s="132" t="str">
        <f t="shared" si="4"/>
        <v>ATRASO</v>
      </c>
      <c r="P14" s="216"/>
    </row>
    <row r="15" spans="2:16" x14ac:dyDescent="0.35">
      <c r="B15" s="278">
        <v>46053</v>
      </c>
      <c r="C15" s="76">
        <v>168608</v>
      </c>
      <c r="D15" s="125">
        <v>13490</v>
      </c>
      <c r="E15" s="126">
        <v>59221.1</v>
      </c>
      <c r="F15" s="126">
        <v>863.7</v>
      </c>
      <c r="G15" s="126">
        <v>0</v>
      </c>
      <c r="H15" s="126">
        <f t="shared" si="0"/>
        <v>58357.4</v>
      </c>
      <c r="J15" s="214">
        <v>46296</v>
      </c>
      <c r="K15" s="133">
        <f t="shared" si="3"/>
        <v>4.3259749721436531</v>
      </c>
      <c r="L15" s="134" t="s">
        <v>244</v>
      </c>
      <c r="M15" s="77">
        <v>46334</v>
      </c>
      <c r="N15" s="133">
        <f t="shared" si="1"/>
        <v>0</v>
      </c>
      <c r="O15" s="132" t="str">
        <f t="shared" si="4"/>
        <v>ATRASO</v>
      </c>
      <c r="P15" s="216"/>
    </row>
    <row r="16" spans="2:16" x14ac:dyDescent="0.35">
      <c r="B16" s="278">
        <v>46053</v>
      </c>
      <c r="C16" s="76">
        <v>168509</v>
      </c>
      <c r="D16" s="125">
        <v>13420</v>
      </c>
      <c r="E16" s="126">
        <v>58913.8</v>
      </c>
      <c r="F16" s="126">
        <v>859.22</v>
      </c>
      <c r="G16" s="126">
        <f>(E16-F16)*0</f>
        <v>0</v>
      </c>
      <c r="H16" s="126">
        <f t="shared" si="0"/>
        <v>58054.58</v>
      </c>
      <c r="J16" s="214">
        <v>46327</v>
      </c>
      <c r="K16" s="133">
        <f t="shared" si="3"/>
        <v>4.3259749721436531</v>
      </c>
      <c r="L16" s="134" t="s">
        <v>244</v>
      </c>
      <c r="M16" s="77">
        <v>46364</v>
      </c>
      <c r="N16" s="133">
        <f t="shared" si="1"/>
        <v>0</v>
      </c>
      <c r="O16" s="132" t="str">
        <f t="shared" si="4"/>
        <v>ATRASO</v>
      </c>
      <c r="P16" s="216"/>
    </row>
    <row r="17" spans="2:16" x14ac:dyDescent="0.35">
      <c r="B17" s="278">
        <v>46053</v>
      </c>
      <c r="C17" s="76">
        <v>168573</v>
      </c>
      <c r="D17" s="125">
        <v>27380</v>
      </c>
      <c r="E17" s="126">
        <v>120198.2</v>
      </c>
      <c r="F17" s="126">
        <v>1753</v>
      </c>
      <c r="G17" s="126">
        <f>(E17-F17)*0</f>
        <v>0</v>
      </c>
      <c r="H17" s="126">
        <f t="shared" ref="H17" si="5">E17-F17-G17</f>
        <v>118445.2</v>
      </c>
      <c r="J17" s="214">
        <v>46357</v>
      </c>
      <c r="K17" s="133">
        <f t="shared" si="3"/>
        <v>4.3259749721436531</v>
      </c>
      <c r="L17" s="134" t="s">
        <v>244</v>
      </c>
      <c r="M17" s="77">
        <v>46395</v>
      </c>
      <c r="N17" s="133">
        <f t="shared" si="1"/>
        <v>0</v>
      </c>
      <c r="O17" s="132" t="str">
        <f t="shared" si="4"/>
        <v>ATRASO</v>
      </c>
      <c r="P17" s="216"/>
    </row>
    <row r="18" spans="2:16" x14ac:dyDescent="0.35">
      <c r="B18" s="278">
        <v>46053</v>
      </c>
      <c r="C18" s="115" t="s">
        <v>74</v>
      </c>
      <c r="D18" s="127">
        <f>SUM(D6:D17)</f>
        <v>233340</v>
      </c>
      <c r="E18" s="283">
        <f t="shared" ref="E18:G18" si="6">SUM(E6:E17)</f>
        <v>1024362.6</v>
      </c>
      <c r="F18" s="283">
        <f>SUM(F6:F17)</f>
        <v>14939.6</v>
      </c>
      <c r="G18" s="283">
        <f t="shared" si="6"/>
        <v>0</v>
      </c>
      <c r="H18" s="283">
        <f>SUM(H6:H17)</f>
        <v>1009423</v>
      </c>
    </row>
    <row r="19" spans="2:16" x14ac:dyDescent="0.35">
      <c r="B19" s="279">
        <v>46023</v>
      </c>
      <c r="C19" s="215" t="s">
        <v>81</v>
      </c>
      <c r="D19" s="215"/>
      <c r="E19" s="215"/>
      <c r="F19" s="215"/>
      <c r="G19" s="215"/>
      <c r="H19" s="130">
        <f>IFERROR(H18/D18,0)</f>
        <v>4.3259749721436531</v>
      </c>
    </row>
    <row r="20" spans="2:16" x14ac:dyDescent="0.35">
      <c r="B20" s="278">
        <v>46081</v>
      </c>
      <c r="C20" s="76"/>
      <c r="D20" s="125"/>
      <c r="E20" s="126"/>
      <c r="F20" s="126"/>
      <c r="G20" s="126">
        <f>(E20-F20)*0.0925</f>
        <v>0</v>
      </c>
      <c r="H20" s="126">
        <f t="shared" ref="H20" si="7">E20-F20-G20</f>
        <v>0</v>
      </c>
    </row>
    <row r="21" spans="2:16" x14ac:dyDescent="0.35">
      <c r="B21" s="278">
        <v>46081</v>
      </c>
      <c r="C21" s="115" t="s">
        <v>74</v>
      </c>
      <c r="D21" s="127">
        <f>SUM(D20:D20)</f>
        <v>0</v>
      </c>
      <c r="E21" s="128">
        <f>SUM(E20:E20)</f>
        <v>0</v>
      </c>
      <c r="F21" s="126">
        <f>SUM(F20:F20)</f>
        <v>0</v>
      </c>
      <c r="G21" s="126">
        <f>SUM(G20:G20)</f>
        <v>0</v>
      </c>
      <c r="H21" s="129">
        <f>SUM(H20:H20)</f>
        <v>0</v>
      </c>
    </row>
    <row r="22" spans="2:16" x14ac:dyDescent="0.35">
      <c r="B22" s="279">
        <v>46054</v>
      </c>
      <c r="C22" s="215" t="s">
        <v>81</v>
      </c>
      <c r="D22" s="215"/>
      <c r="E22" s="215"/>
      <c r="F22" s="215"/>
      <c r="G22" s="215"/>
      <c r="H22" s="130">
        <f>IFERROR(#REF!/#REF!,0)</f>
        <v>0</v>
      </c>
    </row>
    <row r="23" spans="2:16" x14ac:dyDescent="0.35">
      <c r="B23" s="278">
        <v>46112</v>
      </c>
      <c r="C23" s="76"/>
      <c r="D23" s="125"/>
      <c r="E23" s="126"/>
      <c r="F23" s="126"/>
      <c r="G23" s="126">
        <f t="shared" ref="G23" si="8">(E23-F23)*0</f>
        <v>0</v>
      </c>
      <c r="H23" s="126">
        <f t="shared" ref="H23" si="9">E23-F23-G23</f>
        <v>0</v>
      </c>
    </row>
    <row r="24" spans="2:16" x14ac:dyDescent="0.35">
      <c r="B24" s="278">
        <v>46112</v>
      </c>
      <c r="C24" s="115" t="s">
        <v>74</v>
      </c>
      <c r="D24" s="127">
        <f t="shared" ref="D24" si="10">SUM(D23:D23)</f>
        <v>0</v>
      </c>
      <c r="E24" s="128">
        <f t="shared" ref="E24" si="11">SUM(E23:E23)</f>
        <v>0</v>
      </c>
      <c r="F24" s="128">
        <f t="shared" ref="F24" si="12">SUM(F23:F23)</f>
        <v>0</v>
      </c>
      <c r="G24" s="128">
        <f t="shared" ref="G24" si="13">SUM(G23:G23)</f>
        <v>0</v>
      </c>
      <c r="H24" s="127">
        <f t="shared" ref="H24" si="14">SUM(H23:H23)</f>
        <v>0</v>
      </c>
    </row>
    <row r="25" spans="2:16" x14ac:dyDescent="0.35">
      <c r="B25" s="279">
        <v>46082</v>
      </c>
      <c r="C25" s="215" t="s">
        <v>81</v>
      </c>
      <c r="D25" s="215"/>
      <c r="E25" s="215"/>
      <c r="F25" s="215"/>
      <c r="G25" s="215"/>
      <c r="H25" s="130">
        <f t="shared" ref="H25" si="15">IFERROR(H24/D24,0)</f>
        <v>0</v>
      </c>
    </row>
    <row r="26" spans="2:16" x14ac:dyDescent="0.35">
      <c r="B26" s="278">
        <v>46140</v>
      </c>
      <c r="C26" s="76"/>
      <c r="D26" s="125"/>
      <c r="E26" s="126"/>
      <c r="F26" s="126"/>
      <c r="G26" s="126">
        <f t="shared" ref="G26" si="16">(E26-F26)*0.0925</f>
        <v>0</v>
      </c>
      <c r="H26" s="126">
        <f t="shared" ref="H26" si="17">E26-F26-G26</f>
        <v>0</v>
      </c>
    </row>
    <row r="27" spans="2:16" x14ac:dyDescent="0.35">
      <c r="B27" s="278">
        <v>46140</v>
      </c>
      <c r="C27" s="115" t="s">
        <v>74</v>
      </c>
      <c r="D27" s="127">
        <f t="shared" ref="D27" si="18">SUM(D26:D26)</f>
        <v>0</v>
      </c>
      <c r="E27" s="128">
        <f t="shared" ref="E27" si="19">SUM(E26:E26)</f>
        <v>0</v>
      </c>
      <c r="F27" s="126">
        <f t="shared" ref="F27" si="20">SUM(F26:F26)</f>
        <v>0</v>
      </c>
      <c r="G27" s="126">
        <f t="shared" ref="G27" si="21">SUM(G26:G26)</f>
        <v>0</v>
      </c>
      <c r="H27" s="129">
        <f t="shared" ref="H27" si="22">SUM(H26:H26)</f>
        <v>0</v>
      </c>
      <c r="I27" s="38"/>
    </row>
    <row r="28" spans="2:16" x14ac:dyDescent="0.35">
      <c r="B28" s="279">
        <v>46113</v>
      </c>
      <c r="C28" s="215" t="s">
        <v>81</v>
      </c>
      <c r="D28" s="215"/>
      <c r="E28" s="215"/>
      <c r="F28" s="215"/>
      <c r="G28" s="215"/>
      <c r="H28" s="130">
        <f>IFERROR(#REF!/#REF!,0)</f>
        <v>0</v>
      </c>
    </row>
    <row r="29" spans="2:16" x14ac:dyDescent="0.35">
      <c r="B29" s="278">
        <v>46173</v>
      </c>
      <c r="C29" s="76"/>
      <c r="D29" s="125"/>
      <c r="E29" s="126"/>
      <c r="F29" s="126"/>
      <c r="G29" s="126">
        <f t="shared" ref="G29" si="23">(E29-F29)*0</f>
        <v>0</v>
      </c>
      <c r="H29" s="126">
        <f t="shared" ref="H29" si="24">E29-F29-G29</f>
        <v>0</v>
      </c>
    </row>
    <row r="30" spans="2:16" x14ac:dyDescent="0.35">
      <c r="B30" s="278">
        <v>46173</v>
      </c>
      <c r="C30" s="115" t="s">
        <v>74</v>
      </c>
      <c r="D30" s="127">
        <f t="shared" ref="D30" si="25">SUM(D29:D29)</f>
        <v>0</v>
      </c>
      <c r="E30" s="128">
        <f t="shared" ref="E30" si="26">SUM(E29:E29)</f>
        <v>0</v>
      </c>
      <c r="F30" s="128">
        <f t="shared" ref="F30" si="27">SUM(F29:F29)</f>
        <v>0</v>
      </c>
      <c r="G30" s="128">
        <f t="shared" ref="G30" si="28">SUM(G29:G29)</f>
        <v>0</v>
      </c>
      <c r="H30" s="127">
        <f t="shared" ref="H30" si="29">SUM(H29:H29)</f>
        <v>0</v>
      </c>
    </row>
    <row r="31" spans="2:16" x14ac:dyDescent="0.35">
      <c r="B31" s="279">
        <v>46143</v>
      </c>
      <c r="C31" s="215" t="s">
        <v>81</v>
      </c>
      <c r="D31" s="215"/>
      <c r="E31" s="215"/>
      <c r="F31" s="215"/>
      <c r="G31" s="215"/>
      <c r="H31" s="130">
        <f t="shared" ref="H31" si="30">IFERROR(H30/D30,0)</f>
        <v>0</v>
      </c>
    </row>
    <row r="32" spans="2:16" x14ac:dyDescent="0.35">
      <c r="B32" s="278">
        <v>46201</v>
      </c>
      <c r="C32" s="76"/>
      <c r="D32" s="125"/>
      <c r="E32" s="126"/>
      <c r="F32" s="126"/>
      <c r="G32" s="126">
        <f t="shared" ref="G32" si="31">(E32-F32)*0.0925</f>
        <v>0</v>
      </c>
      <c r="H32" s="126">
        <f t="shared" ref="H32" si="32">E32-F32-G32</f>
        <v>0</v>
      </c>
    </row>
    <row r="33" spans="2:8" x14ac:dyDescent="0.35">
      <c r="B33" s="278">
        <v>46201</v>
      </c>
      <c r="C33" s="115" t="s">
        <v>74</v>
      </c>
      <c r="D33" s="127">
        <f t="shared" ref="D33" si="33">SUM(D32:D32)</f>
        <v>0</v>
      </c>
      <c r="E33" s="128">
        <f t="shared" ref="E33" si="34">SUM(E32:E32)</f>
        <v>0</v>
      </c>
      <c r="F33" s="126">
        <f t="shared" ref="F33" si="35">SUM(F32:F32)</f>
        <v>0</v>
      </c>
      <c r="G33" s="126">
        <f t="shared" ref="G33" si="36">SUM(G32:G32)</f>
        <v>0</v>
      </c>
      <c r="H33" s="129">
        <f t="shared" ref="H33" si="37">SUM(H32:H32)</f>
        <v>0</v>
      </c>
    </row>
    <row r="34" spans="2:8" x14ac:dyDescent="0.35">
      <c r="B34" s="279">
        <v>46174</v>
      </c>
      <c r="C34" s="215" t="s">
        <v>81</v>
      </c>
      <c r="D34" s="215"/>
      <c r="E34" s="215"/>
      <c r="F34" s="215"/>
      <c r="G34" s="215"/>
      <c r="H34" s="130">
        <f>IFERROR(#REF!/#REF!,0)</f>
        <v>0</v>
      </c>
    </row>
    <row r="35" spans="2:8" x14ac:dyDescent="0.35">
      <c r="B35" s="278">
        <v>46234</v>
      </c>
      <c r="C35" s="76"/>
      <c r="D35" s="125"/>
      <c r="E35" s="126"/>
      <c r="F35" s="126"/>
      <c r="G35" s="126">
        <f t="shared" ref="G35" si="38">(E35-F35)*0</f>
        <v>0</v>
      </c>
      <c r="H35" s="126">
        <f t="shared" ref="H35" si="39">E35-F35-G35</f>
        <v>0</v>
      </c>
    </row>
    <row r="36" spans="2:8" x14ac:dyDescent="0.35">
      <c r="B36" s="278">
        <v>46234</v>
      </c>
      <c r="C36" s="115" t="s">
        <v>74</v>
      </c>
      <c r="D36" s="127">
        <f t="shared" ref="D36" si="40">SUM(D35:D35)</f>
        <v>0</v>
      </c>
      <c r="E36" s="128">
        <f t="shared" ref="E36" si="41">SUM(E35:E35)</f>
        <v>0</v>
      </c>
      <c r="F36" s="128">
        <f t="shared" ref="F36" si="42">SUM(F35:F35)</f>
        <v>0</v>
      </c>
      <c r="G36" s="128">
        <f t="shared" ref="G36" si="43">SUM(G35:G35)</f>
        <v>0</v>
      </c>
      <c r="H36" s="127">
        <f t="shared" ref="H36" si="44">SUM(H35:H35)</f>
        <v>0</v>
      </c>
    </row>
    <row r="37" spans="2:8" x14ac:dyDescent="0.35">
      <c r="B37" s="279">
        <v>46204</v>
      </c>
      <c r="C37" s="215" t="s">
        <v>81</v>
      </c>
      <c r="D37" s="215"/>
      <c r="E37" s="215"/>
      <c r="F37" s="215"/>
      <c r="G37" s="215"/>
      <c r="H37" s="130">
        <f t="shared" ref="H37" si="45">IFERROR(H36/D36,0)</f>
        <v>0</v>
      </c>
    </row>
    <row r="38" spans="2:8" x14ac:dyDescent="0.35">
      <c r="B38" s="278">
        <v>46262</v>
      </c>
      <c r="C38" s="76"/>
      <c r="D38" s="125"/>
      <c r="E38" s="126"/>
      <c r="F38" s="126"/>
      <c r="G38" s="126">
        <f t="shared" ref="G38" si="46">(E38-F38)*0.0925</f>
        <v>0</v>
      </c>
      <c r="H38" s="126">
        <f t="shared" ref="H38" si="47">E38-F38-G38</f>
        <v>0</v>
      </c>
    </row>
    <row r="39" spans="2:8" x14ac:dyDescent="0.35">
      <c r="B39" s="278">
        <v>46262</v>
      </c>
      <c r="C39" s="115" t="s">
        <v>74</v>
      </c>
      <c r="D39" s="127">
        <f t="shared" ref="D39" si="48">SUM(D38:D38)</f>
        <v>0</v>
      </c>
      <c r="E39" s="128">
        <f t="shared" ref="E39" si="49">SUM(E38:E38)</f>
        <v>0</v>
      </c>
      <c r="F39" s="126">
        <f t="shared" ref="F39" si="50">SUM(F38:F38)</f>
        <v>0</v>
      </c>
      <c r="G39" s="126">
        <f t="shared" ref="G39" si="51">SUM(G38:G38)</f>
        <v>0</v>
      </c>
      <c r="H39" s="129">
        <f t="shared" ref="H39" si="52">SUM(H38:H38)</f>
        <v>0</v>
      </c>
    </row>
    <row r="40" spans="2:8" x14ac:dyDescent="0.35">
      <c r="B40" s="279">
        <v>46235</v>
      </c>
      <c r="C40" s="215" t="s">
        <v>81</v>
      </c>
      <c r="D40" s="215"/>
      <c r="E40" s="215"/>
      <c r="F40" s="215"/>
      <c r="G40" s="215"/>
      <c r="H40" s="130">
        <f>IFERROR(#REF!/#REF!,0)</f>
        <v>0</v>
      </c>
    </row>
    <row r="41" spans="2:8" x14ac:dyDescent="0.35">
      <c r="B41" s="278">
        <v>46295</v>
      </c>
      <c r="C41" s="76"/>
      <c r="D41" s="125"/>
      <c r="E41" s="126"/>
      <c r="F41" s="126"/>
      <c r="G41" s="126">
        <f t="shared" ref="G41" si="53">(E41-F41)*0</f>
        <v>0</v>
      </c>
      <c r="H41" s="126">
        <f t="shared" ref="H41" si="54">E41-F41-G41</f>
        <v>0</v>
      </c>
    </row>
    <row r="42" spans="2:8" x14ac:dyDescent="0.35">
      <c r="B42" s="278">
        <v>46295</v>
      </c>
      <c r="C42" s="115" t="s">
        <v>74</v>
      </c>
      <c r="D42" s="127">
        <f t="shared" ref="D42" si="55">SUM(D41:D41)</f>
        <v>0</v>
      </c>
      <c r="E42" s="128">
        <f t="shared" ref="E42" si="56">SUM(E41:E41)</f>
        <v>0</v>
      </c>
      <c r="F42" s="128">
        <f t="shared" ref="F42" si="57">SUM(F41:F41)</f>
        <v>0</v>
      </c>
      <c r="G42" s="128">
        <f t="shared" ref="G42" si="58">SUM(G41:G41)</f>
        <v>0</v>
      </c>
      <c r="H42" s="127">
        <f t="shared" ref="H42" si="59">SUM(H41:H41)</f>
        <v>0</v>
      </c>
    </row>
    <row r="43" spans="2:8" x14ac:dyDescent="0.35">
      <c r="B43" s="279">
        <v>46266</v>
      </c>
      <c r="C43" s="215" t="s">
        <v>81</v>
      </c>
      <c r="D43" s="215"/>
      <c r="E43" s="215"/>
      <c r="F43" s="215"/>
      <c r="G43" s="215"/>
      <c r="H43" s="130">
        <f t="shared" ref="H43" si="60">IFERROR(H42/D42,0)</f>
        <v>0</v>
      </c>
    </row>
    <row r="44" spans="2:8" x14ac:dyDescent="0.35">
      <c r="B44" s="278">
        <v>46323</v>
      </c>
      <c r="C44" s="76"/>
      <c r="D44" s="125"/>
      <c r="E44" s="126"/>
      <c r="F44" s="126"/>
      <c r="G44" s="126">
        <f t="shared" ref="G44" si="61">(E44-F44)*0.0925</f>
        <v>0</v>
      </c>
      <c r="H44" s="126">
        <f t="shared" ref="H44" si="62">E44-F44-G44</f>
        <v>0</v>
      </c>
    </row>
    <row r="45" spans="2:8" x14ac:dyDescent="0.35">
      <c r="B45" s="278">
        <v>46323</v>
      </c>
      <c r="C45" s="115" t="s">
        <v>74</v>
      </c>
      <c r="D45" s="127">
        <f t="shared" ref="D45" si="63">SUM(D44:D44)</f>
        <v>0</v>
      </c>
      <c r="E45" s="128">
        <f t="shared" ref="E45" si="64">SUM(E44:E44)</f>
        <v>0</v>
      </c>
      <c r="F45" s="126">
        <f t="shared" ref="F45" si="65">SUM(F44:F44)</f>
        <v>0</v>
      </c>
      <c r="G45" s="126">
        <f t="shared" ref="G45" si="66">SUM(G44:G44)</f>
        <v>0</v>
      </c>
      <c r="H45" s="129">
        <f t="shared" ref="H45" si="67">SUM(H44:H44)</f>
        <v>0</v>
      </c>
    </row>
    <row r="46" spans="2:8" x14ac:dyDescent="0.35">
      <c r="B46" s="279">
        <v>46296</v>
      </c>
      <c r="C46" s="215" t="s">
        <v>81</v>
      </c>
      <c r="D46" s="215"/>
      <c r="E46" s="215"/>
      <c r="F46" s="215"/>
      <c r="G46" s="215"/>
      <c r="H46" s="130">
        <f>IFERROR(#REF!/#REF!,0)</f>
        <v>0</v>
      </c>
    </row>
    <row r="47" spans="2:8" x14ac:dyDescent="0.35">
      <c r="B47" s="278">
        <v>46356</v>
      </c>
      <c r="C47" s="76"/>
      <c r="D47" s="125"/>
      <c r="E47" s="126"/>
      <c r="F47" s="126"/>
      <c r="G47" s="126">
        <f t="shared" ref="G47" si="68">(E47-F47)*0</f>
        <v>0</v>
      </c>
      <c r="H47" s="126">
        <f t="shared" ref="H47" si="69">E47-F47-G47</f>
        <v>0</v>
      </c>
    </row>
    <row r="48" spans="2:8" x14ac:dyDescent="0.35">
      <c r="B48" s="278">
        <v>46356</v>
      </c>
      <c r="C48" s="115" t="s">
        <v>74</v>
      </c>
      <c r="D48" s="127">
        <f t="shared" ref="D48" si="70">SUM(D47:D47)</f>
        <v>0</v>
      </c>
      <c r="E48" s="128">
        <f t="shared" ref="E48" si="71">SUM(E47:E47)</f>
        <v>0</v>
      </c>
      <c r="F48" s="128">
        <f t="shared" ref="F48" si="72">SUM(F47:F47)</f>
        <v>0</v>
      </c>
      <c r="G48" s="128">
        <f t="shared" ref="G48" si="73">SUM(G47:G47)</f>
        <v>0</v>
      </c>
      <c r="H48" s="127">
        <f t="shared" ref="H48" si="74">SUM(H47:H47)</f>
        <v>0</v>
      </c>
    </row>
    <row r="49" spans="2:8" x14ac:dyDescent="0.35">
      <c r="B49" s="279">
        <v>46356</v>
      </c>
      <c r="C49" s="215" t="s">
        <v>81</v>
      </c>
      <c r="D49" s="215"/>
      <c r="E49" s="215"/>
      <c r="F49" s="215"/>
      <c r="G49" s="215"/>
      <c r="H49" s="130">
        <f t="shared" ref="H49" si="75">IFERROR(H48/D48,0)</f>
        <v>0</v>
      </c>
    </row>
    <row r="50" spans="2:8" x14ac:dyDescent="0.35">
      <c r="B50" s="278">
        <v>46384</v>
      </c>
      <c r="C50" s="76"/>
      <c r="D50" s="125"/>
      <c r="E50" s="126"/>
      <c r="F50" s="126"/>
      <c r="G50" s="126">
        <f t="shared" ref="G50" si="76">(E50-F50)*0.0925</f>
        <v>0</v>
      </c>
      <c r="H50" s="126">
        <f t="shared" ref="H50" si="77">E50-F50-G50</f>
        <v>0</v>
      </c>
    </row>
    <row r="51" spans="2:8" x14ac:dyDescent="0.35">
      <c r="B51" s="278">
        <v>46384</v>
      </c>
      <c r="C51" s="115" t="s">
        <v>74</v>
      </c>
      <c r="D51" s="127">
        <f t="shared" ref="D51" si="78">SUM(D50:D50)</f>
        <v>0</v>
      </c>
      <c r="E51" s="128">
        <f t="shared" ref="E51" si="79">SUM(E50:E50)</f>
        <v>0</v>
      </c>
      <c r="F51" s="126">
        <f t="shared" ref="F51" si="80">SUM(F50:F50)</f>
        <v>0</v>
      </c>
      <c r="G51" s="126">
        <f t="shared" ref="G51" si="81">SUM(G50:G50)</f>
        <v>0</v>
      </c>
      <c r="H51" s="129">
        <f t="shared" ref="H51" si="82">SUM(H50:H50)</f>
        <v>0</v>
      </c>
    </row>
    <row r="52" spans="2:8" x14ac:dyDescent="0.35">
      <c r="B52" s="279">
        <v>46384</v>
      </c>
      <c r="C52" s="215" t="s">
        <v>81</v>
      </c>
      <c r="D52" s="215"/>
      <c r="E52" s="215"/>
      <c r="F52" s="215"/>
      <c r="G52" s="215"/>
      <c r="H52" s="130">
        <f t="shared" ref="H52" si="83">IFERROR(H51/D51,0)</f>
        <v>0</v>
      </c>
    </row>
    <row r="56" spans="2:8" ht="15" customHeight="1" x14ac:dyDescent="0.35"/>
    <row r="59" spans="2:8" ht="15" customHeight="1" x14ac:dyDescent="0.35"/>
    <row r="62" spans="2:8" ht="15" customHeight="1" x14ac:dyDescent="0.35"/>
    <row r="65" ht="15" customHeight="1" x14ac:dyDescent="0.35"/>
    <row r="68" ht="15" customHeight="1" x14ac:dyDescent="0.35"/>
    <row r="71" ht="15" customHeight="1" x14ac:dyDescent="0.35"/>
    <row r="74" ht="15" customHeight="1" x14ac:dyDescent="0.35"/>
    <row r="77" ht="15" customHeight="1" x14ac:dyDescent="0.35"/>
    <row r="80" ht="15" customHeight="1" x14ac:dyDescent="0.35"/>
    <row r="132" spans="2:2" x14ac:dyDescent="0.35">
      <c r="B132" s="280" t="s">
        <v>256</v>
      </c>
    </row>
  </sheetData>
  <mergeCells count="1">
    <mergeCell ref="B1:P3"/>
  </mergeCells>
  <phoneticPr fontId="3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/>
  <dimension ref="B1:Q34"/>
  <sheetViews>
    <sheetView showGridLines="0" zoomScale="85" zoomScaleNormal="85" workbookViewId="0">
      <selection activeCell="M8" sqref="M8:M9"/>
    </sheetView>
  </sheetViews>
  <sheetFormatPr defaultRowHeight="14.5" x14ac:dyDescent="0.35"/>
  <cols>
    <col min="1" max="1" width="3.54296875" customWidth="1"/>
    <col min="3" max="8" width="7.81640625" customWidth="1"/>
    <col min="9" max="9" width="10.54296875" customWidth="1"/>
    <col min="10" max="10" width="11.54296875" customWidth="1"/>
    <col min="12" max="12" width="11.54296875" bestFit="1" customWidth="1"/>
    <col min="13" max="13" width="11.7265625" customWidth="1"/>
    <col min="14" max="14" width="12.26953125" customWidth="1"/>
    <col min="15" max="15" width="13.7265625" customWidth="1"/>
    <col min="16" max="16" width="15.81640625" bestFit="1" customWidth="1"/>
  </cols>
  <sheetData>
    <row r="1" spans="2:17" x14ac:dyDescent="0.35">
      <c r="B1" s="301" t="s">
        <v>275</v>
      </c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</row>
    <row r="2" spans="2:17" x14ac:dyDescent="0.35"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</row>
    <row r="3" spans="2:17" x14ac:dyDescent="0.35"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</row>
    <row r="4" spans="2:17" ht="15" thickBot="1" x14ac:dyDescent="0.4">
      <c r="B4" s="1"/>
      <c r="C4" s="1"/>
      <c r="D4" s="1"/>
      <c r="E4" s="1"/>
      <c r="F4" s="1"/>
      <c r="G4" s="1"/>
      <c r="H4" s="1"/>
      <c r="L4" s="323" t="s">
        <v>44</v>
      </c>
      <c r="M4" s="324"/>
      <c r="N4" s="325"/>
    </row>
    <row r="5" spans="2:17" s="4" customFormat="1" ht="44" thickBot="1" x14ac:dyDescent="0.4">
      <c r="B5" s="158" t="s">
        <v>35</v>
      </c>
      <c r="C5" s="141" t="s">
        <v>36</v>
      </c>
      <c r="D5" s="141" t="s">
        <v>37</v>
      </c>
      <c r="E5" s="141" t="s">
        <v>38</v>
      </c>
      <c r="F5" s="141" t="s">
        <v>39</v>
      </c>
      <c r="G5" s="141" t="s">
        <v>40</v>
      </c>
      <c r="H5" s="145" t="s">
        <v>41</v>
      </c>
      <c r="I5" s="137" t="s">
        <v>42</v>
      </c>
      <c r="J5" s="137" t="s">
        <v>63</v>
      </c>
      <c r="K5" s="137" t="s">
        <v>43</v>
      </c>
      <c r="L5" s="136" t="s">
        <v>46</v>
      </c>
      <c r="M5" s="136" t="s">
        <v>47</v>
      </c>
      <c r="N5" s="137" t="s">
        <v>45</v>
      </c>
      <c r="O5" s="138" t="s">
        <v>48</v>
      </c>
    </row>
    <row r="6" spans="2:17" x14ac:dyDescent="0.35">
      <c r="B6" s="139">
        <v>46023</v>
      </c>
      <c r="C6" s="284">
        <v>2.56867</v>
      </c>
      <c r="D6" s="284">
        <v>2.7514099999999999</v>
      </c>
      <c r="E6" s="284">
        <v>2.5929799999999998</v>
      </c>
      <c r="F6" s="284">
        <v>2.63354</v>
      </c>
      <c r="G6" s="285">
        <v>2.6625700000000001</v>
      </c>
      <c r="H6" s="143"/>
      <c r="I6" s="326">
        <f>IFERROR((C7*C6+D7*D6+E7*E6+F7*F6+G7*G6+H7*H6)/SUM(C7:H7),0)</f>
        <v>2.6482454838709675</v>
      </c>
      <c r="J6" s="326">
        <f>I6*0.0925</f>
        <v>0.24496270725806449</v>
      </c>
      <c r="K6" s="328">
        <f>I6-J6</f>
        <v>2.4032827766129028</v>
      </c>
      <c r="L6" s="328">
        <v>0.93400000000000005</v>
      </c>
      <c r="M6" s="330">
        <v>5.1959999999999997</v>
      </c>
      <c r="N6" s="332">
        <f>IFERROR(L6/M6,0)</f>
        <v>0.17975365665896845</v>
      </c>
      <c r="O6" s="328">
        <f>K6*(1+N6)</f>
        <v>2.8352816436945907</v>
      </c>
      <c r="P6" s="4"/>
      <c r="Q6" s="4"/>
    </row>
    <row r="7" spans="2:17" ht="15" thickBot="1" x14ac:dyDescent="0.4">
      <c r="B7" s="140" t="s">
        <v>49</v>
      </c>
      <c r="C7" s="144">
        <v>4</v>
      </c>
      <c r="D7" s="144">
        <v>7</v>
      </c>
      <c r="E7" s="144">
        <v>7</v>
      </c>
      <c r="F7" s="144">
        <v>7</v>
      </c>
      <c r="G7" s="144">
        <v>6</v>
      </c>
      <c r="H7" s="147"/>
      <c r="I7" s="327"/>
      <c r="J7" s="327"/>
      <c r="K7" s="329"/>
      <c r="L7" s="329"/>
      <c r="M7" s="331"/>
      <c r="N7" s="333"/>
      <c r="O7" s="329"/>
      <c r="P7" s="4"/>
      <c r="Q7" s="4"/>
    </row>
    <row r="8" spans="2:17" x14ac:dyDescent="0.35">
      <c r="B8" s="139">
        <v>46054</v>
      </c>
      <c r="C8" s="299">
        <v>2.6625700000000001</v>
      </c>
      <c r="D8" s="299">
        <v>2.7559100000000001</v>
      </c>
      <c r="E8" s="300">
        <v>2.8167599999999999</v>
      </c>
      <c r="F8" s="300">
        <v>2.9017300000000001</v>
      </c>
      <c r="G8" s="300">
        <v>2.9474499999999999</v>
      </c>
      <c r="H8" s="146"/>
      <c r="I8" s="326">
        <f>IFERROR((C9*C8+D9*D8+E9*E8+F9*F8+G9*G8+H9*H8)/SUM(C9:H9),0)</f>
        <v>2.8452882142857141</v>
      </c>
      <c r="J8" s="326">
        <f t="shared" ref="J8" si="0">I8*0.0925</f>
        <v>0.26318915982142854</v>
      </c>
      <c r="K8" s="326">
        <f t="shared" ref="K8" si="1">I8-J8</f>
        <v>2.5820990544642854</v>
      </c>
      <c r="L8" s="328">
        <v>0.81299999999999994</v>
      </c>
      <c r="M8" s="330">
        <v>5.3369999999999997</v>
      </c>
      <c r="N8" s="332">
        <f>IFERROR(L8/M8,0)</f>
        <v>0.15233277121978639</v>
      </c>
      <c r="O8" s="328">
        <f t="shared" ref="O8" si="2">K8*(1+N8)</f>
        <v>2.97543735899482</v>
      </c>
      <c r="P8" s="4"/>
      <c r="Q8" s="4"/>
    </row>
    <row r="9" spans="2:17" ht="15" thickBot="1" x14ac:dyDescent="0.4">
      <c r="B9" s="140" t="s">
        <v>49</v>
      </c>
      <c r="C9" s="144">
        <v>1</v>
      </c>
      <c r="D9" s="144">
        <v>7</v>
      </c>
      <c r="E9" s="144">
        <v>7</v>
      </c>
      <c r="F9" s="144">
        <v>7</v>
      </c>
      <c r="G9" s="144">
        <v>6</v>
      </c>
      <c r="H9" s="147"/>
      <c r="I9" s="327"/>
      <c r="J9" s="327"/>
      <c r="K9" s="327"/>
      <c r="L9" s="329"/>
      <c r="M9" s="331"/>
      <c r="N9" s="333"/>
      <c r="O9" s="329"/>
      <c r="P9" s="4"/>
      <c r="Q9" s="4"/>
    </row>
    <row r="10" spans="2:17" x14ac:dyDescent="0.35">
      <c r="B10" s="139">
        <v>46082</v>
      </c>
      <c r="C10" s="142">
        <v>0</v>
      </c>
      <c r="D10" s="142">
        <v>0</v>
      </c>
      <c r="E10" s="143">
        <v>0</v>
      </c>
      <c r="F10" s="143">
        <v>0</v>
      </c>
      <c r="G10" s="143">
        <v>0</v>
      </c>
      <c r="H10" s="146">
        <v>0</v>
      </c>
      <c r="I10" s="328">
        <f t="shared" ref="I10" si="3">IFERROR((C11*C10+D11*D10+E11*E10+F11*F10+G11*G10+H11*H10)/SUM(C11:H11),0)</f>
        <v>0</v>
      </c>
      <c r="J10" s="328">
        <f t="shared" ref="J10" si="4">I10*0.0925</f>
        <v>0</v>
      </c>
      <c r="K10" s="328">
        <f t="shared" ref="K10" si="5">I10-J10</f>
        <v>0</v>
      </c>
      <c r="L10" s="328">
        <v>0</v>
      </c>
      <c r="M10" s="328">
        <f t="shared" ref="M10" si="6">K10-L10</f>
        <v>0</v>
      </c>
      <c r="N10" s="334">
        <f t="shared" ref="N10" si="7">IFERROR(L10/M10,0)</f>
        <v>0</v>
      </c>
      <c r="O10" s="328">
        <f>K10*(1+N10)</f>
        <v>0</v>
      </c>
      <c r="P10" s="4"/>
      <c r="Q10" s="4"/>
    </row>
    <row r="11" spans="2:17" ht="15" thickBot="1" x14ac:dyDescent="0.4">
      <c r="B11" s="140" t="s">
        <v>49</v>
      </c>
      <c r="C11" s="144">
        <v>1</v>
      </c>
      <c r="D11" s="144">
        <v>7</v>
      </c>
      <c r="E11" s="144">
        <v>7</v>
      </c>
      <c r="F11" s="144">
        <v>7</v>
      </c>
      <c r="G11" s="144">
        <v>7</v>
      </c>
      <c r="H11" s="147">
        <v>2</v>
      </c>
      <c r="I11" s="329"/>
      <c r="J11" s="329"/>
      <c r="K11" s="329"/>
      <c r="L11" s="329"/>
      <c r="M11" s="329"/>
      <c r="N11" s="335"/>
      <c r="O11" s="329"/>
      <c r="P11" s="4"/>
      <c r="Q11" s="4"/>
    </row>
    <row r="12" spans="2:17" x14ac:dyDescent="0.35">
      <c r="B12" s="139">
        <v>46113</v>
      </c>
      <c r="C12" s="142">
        <v>0</v>
      </c>
      <c r="D12" s="142">
        <v>0</v>
      </c>
      <c r="E12" s="143">
        <v>0</v>
      </c>
      <c r="F12" s="143">
        <v>0</v>
      </c>
      <c r="G12" s="143">
        <v>0</v>
      </c>
      <c r="H12" s="146"/>
      <c r="I12" s="328">
        <f t="shared" ref="I12" si="8">IFERROR((C13*C12+D13*D12+E13*E12+F13*F12+G13*G12+H13*H12)/SUM(C13:H13),0)</f>
        <v>0</v>
      </c>
      <c r="J12" s="328">
        <f t="shared" ref="J12" si="9">I12*0.0925</f>
        <v>0</v>
      </c>
      <c r="K12" s="328">
        <f t="shared" ref="K12" si="10">I12-J12</f>
        <v>0</v>
      </c>
      <c r="L12" s="328">
        <f t="shared" ref="L12" si="11">K12*0.0925</f>
        <v>0</v>
      </c>
      <c r="M12" s="328">
        <f t="shared" ref="M12" si="12">K12-L12</f>
        <v>0</v>
      </c>
      <c r="N12" s="334">
        <f t="shared" ref="N12" si="13">IFERROR(L12/M12,0)</f>
        <v>0</v>
      </c>
      <c r="O12" s="328">
        <f t="shared" ref="O12" si="14">K12*(1+N12)</f>
        <v>0</v>
      </c>
      <c r="P12" s="4"/>
      <c r="Q12" s="4"/>
    </row>
    <row r="13" spans="2:17" ht="15" thickBot="1" x14ac:dyDescent="0.4">
      <c r="B13" s="140" t="s">
        <v>49</v>
      </c>
      <c r="C13" s="144">
        <v>5</v>
      </c>
      <c r="D13" s="144">
        <v>7</v>
      </c>
      <c r="E13" s="144">
        <v>7</v>
      </c>
      <c r="F13" s="144">
        <v>7</v>
      </c>
      <c r="G13" s="144">
        <v>5</v>
      </c>
      <c r="H13" s="147"/>
      <c r="I13" s="329"/>
      <c r="J13" s="329"/>
      <c r="K13" s="329"/>
      <c r="L13" s="329"/>
      <c r="M13" s="329"/>
      <c r="N13" s="335"/>
      <c r="O13" s="329"/>
      <c r="P13" s="4"/>
      <c r="Q13" s="4"/>
    </row>
    <row r="14" spans="2:17" x14ac:dyDescent="0.35">
      <c r="B14" s="139">
        <v>46143</v>
      </c>
      <c r="C14" s="142">
        <v>0</v>
      </c>
      <c r="D14" s="142">
        <v>0</v>
      </c>
      <c r="E14" s="143">
        <v>0</v>
      </c>
      <c r="F14" s="143">
        <v>0</v>
      </c>
      <c r="G14" s="143">
        <v>0</v>
      </c>
      <c r="H14" s="146"/>
      <c r="I14" s="328">
        <f t="shared" ref="I14" si="15">IFERROR((C15*C14+D15*D14+E15*E14+F15*F14+G15*G14+H15*H14)/SUM(C15:H15),0)</f>
        <v>0</v>
      </c>
      <c r="J14" s="328">
        <f t="shared" ref="J14" si="16">I14*0.0925</f>
        <v>0</v>
      </c>
      <c r="K14" s="328">
        <f t="shared" ref="K14" si="17">I14-J14</f>
        <v>0</v>
      </c>
      <c r="L14" s="328">
        <f t="shared" ref="L14" si="18">K14*0.0925</f>
        <v>0</v>
      </c>
      <c r="M14" s="328">
        <f t="shared" ref="M14" si="19">K14-L14</f>
        <v>0</v>
      </c>
      <c r="N14" s="334">
        <f t="shared" ref="N14" si="20">IFERROR(L14/M14,0)</f>
        <v>0</v>
      </c>
      <c r="O14" s="328">
        <f t="shared" ref="O14" si="21">K14*(1+N14)</f>
        <v>0</v>
      </c>
      <c r="P14" s="4"/>
      <c r="Q14" s="4"/>
    </row>
    <row r="15" spans="2:17" ht="15" thickBot="1" x14ac:dyDescent="0.4">
      <c r="B15" s="140" t="s">
        <v>49</v>
      </c>
      <c r="C15" s="144">
        <v>5</v>
      </c>
      <c r="D15" s="144">
        <v>7</v>
      </c>
      <c r="E15" s="144">
        <v>7</v>
      </c>
      <c r="F15" s="144">
        <v>7</v>
      </c>
      <c r="G15" s="144">
        <v>5</v>
      </c>
      <c r="H15" s="147"/>
      <c r="I15" s="329"/>
      <c r="J15" s="329"/>
      <c r="K15" s="329"/>
      <c r="L15" s="329"/>
      <c r="M15" s="329"/>
      <c r="N15" s="335"/>
      <c r="O15" s="329"/>
      <c r="P15" s="4"/>
      <c r="Q15" s="4"/>
    </row>
    <row r="16" spans="2:17" x14ac:dyDescent="0.35">
      <c r="B16" s="139">
        <v>46174</v>
      </c>
      <c r="C16" s="142">
        <v>0</v>
      </c>
      <c r="D16" s="142">
        <v>0</v>
      </c>
      <c r="E16" s="143">
        <v>0</v>
      </c>
      <c r="F16" s="143">
        <v>0</v>
      </c>
      <c r="G16" s="143">
        <v>0</v>
      </c>
      <c r="H16" s="146">
        <f>((C16*C17+D16*D17+E16*E17+F16*F17+G16*G17)/SUM(C17:G17))</f>
        <v>0</v>
      </c>
      <c r="I16" s="328">
        <f>IFERROR((C17*C16+D17*D16+E17*E16+F17*F16+G17*G16+H17*H16)/SUM(C17:H17),0)</f>
        <v>0</v>
      </c>
      <c r="J16" s="328">
        <f t="shared" ref="J16" si="22">I16*0.0925</f>
        <v>0</v>
      </c>
      <c r="K16" s="328">
        <f t="shared" ref="K16" si="23">I16-J16</f>
        <v>0</v>
      </c>
      <c r="L16" s="328">
        <f t="shared" ref="L16" si="24">K16*0.0925</f>
        <v>0</v>
      </c>
      <c r="M16" s="328">
        <f t="shared" ref="M16" si="25">K16-L16</f>
        <v>0</v>
      </c>
      <c r="N16" s="332">
        <f t="shared" ref="N16" si="26">IFERROR(L16/M16,0)</f>
        <v>0</v>
      </c>
      <c r="O16" s="328">
        <f t="shared" ref="O16:O22" si="27">K16*(1+N16)</f>
        <v>0</v>
      </c>
      <c r="P16" s="4"/>
      <c r="Q16" s="4"/>
    </row>
    <row r="17" spans="2:17" ht="15" thickBot="1" x14ac:dyDescent="0.4">
      <c r="B17" s="140" t="s">
        <v>49</v>
      </c>
      <c r="C17" s="144">
        <v>5</v>
      </c>
      <c r="D17" s="144">
        <v>7</v>
      </c>
      <c r="E17" s="144">
        <v>7</v>
      </c>
      <c r="F17" s="144">
        <v>7</v>
      </c>
      <c r="G17" s="144">
        <v>5</v>
      </c>
      <c r="H17" s="147">
        <v>1</v>
      </c>
      <c r="I17" s="329"/>
      <c r="J17" s="329"/>
      <c r="K17" s="329"/>
      <c r="L17" s="329"/>
      <c r="M17" s="329"/>
      <c r="N17" s="333"/>
      <c r="O17" s="329"/>
      <c r="P17" s="4"/>
      <c r="Q17" s="4"/>
    </row>
    <row r="18" spans="2:17" x14ac:dyDescent="0.35">
      <c r="B18" s="139">
        <v>46204</v>
      </c>
      <c r="C18" s="142">
        <v>0</v>
      </c>
      <c r="D18" s="142">
        <v>0</v>
      </c>
      <c r="E18" s="143">
        <v>0</v>
      </c>
      <c r="F18" s="143">
        <v>0</v>
      </c>
      <c r="G18" s="143">
        <v>0</v>
      </c>
      <c r="H18" s="146"/>
      <c r="I18" s="328">
        <f t="shared" ref="I18:I22" si="28">IFERROR((C19*C18+D19*D18+E19*E18+F19*F18+G19*G18+H19*H18)/SUM(C19:H19),0)</f>
        <v>0</v>
      </c>
      <c r="J18" s="328">
        <f t="shared" ref="J18" si="29">I18*0.0925</f>
        <v>0</v>
      </c>
      <c r="K18" s="328">
        <f t="shared" ref="K18" si="30">I18-J18</f>
        <v>0</v>
      </c>
      <c r="L18" s="328">
        <f t="shared" ref="L18" si="31">K18*0.0925</f>
        <v>0</v>
      </c>
      <c r="M18" s="328">
        <f t="shared" ref="M18" si="32">K18-L18</f>
        <v>0</v>
      </c>
      <c r="N18" s="332">
        <f t="shared" ref="N18:N22" si="33">IFERROR(L18/M18,0)</f>
        <v>0</v>
      </c>
      <c r="O18" s="328">
        <f t="shared" si="27"/>
        <v>0</v>
      </c>
      <c r="P18" s="4"/>
      <c r="Q18" s="4"/>
    </row>
    <row r="19" spans="2:17" ht="15" thickBot="1" x14ac:dyDescent="0.4">
      <c r="B19" s="140" t="s">
        <v>49</v>
      </c>
      <c r="C19" s="144">
        <v>5</v>
      </c>
      <c r="D19" s="144">
        <v>7</v>
      </c>
      <c r="E19" s="144">
        <v>7</v>
      </c>
      <c r="F19" s="144">
        <v>7</v>
      </c>
      <c r="G19" s="144">
        <v>5</v>
      </c>
      <c r="H19" s="147"/>
      <c r="I19" s="329"/>
      <c r="J19" s="329"/>
      <c r="K19" s="329"/>
      <c r="L19" s="329"/>
      <c r="M19" s="329"/>
      <c r="N19" s="333"/>
      <c r="O19" s="329"/>
      <c r="P19" s="11"/>
    </row>
    <row r="20" spans="2:17" x14ac:dyDescent="0.35">
      <c r="B20" s="139">
        <v>46235</v>
      </c>
      <c r="C20" s="142">
        <v>0</v>
      </c>
      <c r="D20" s="142">
        <v>0</v>
      </c>
      <c r="E20" s="143">
        <v>0</v>
      </c>
      <c r="F20" s="143">
        <v>0</v>
      </c>
      <c r="G20" s="143">
        <v>0</v>
      </c>
      <c r="H20" s="146"/>
      <c r="I20" s="328">
        <f t="shared" si="28"/>
        <v>0</v>
      </c>
      <c r="J20" s="328">
        <f t="shared" ref="J20" si="34">I20*0.0925</f>
        <v>0</v>
      </c>
      <c r="K20" s="328">
        <f t="shared" ref="K20" si="35">I20-J20</f>
        <v>0</v>
      </c>
      <c r="L20" s="328">
        <f t="shared" ref="L20" si="36">K20*0.0925</f>
        <v>0</v>
      </c>
      <c r="M20" s="328">
        <f t="shared" ref="M20" si="37">K20-L20</f>
        <v>0</v>
      </c>
      <c r="N20" s="332">
        <f t="shared" si="33"/>
        <v>0</v>
      </c>
      <c r="O20" s="328">
        <f t="shared" si="27"/>
        <v>0</v>
      </c>
      <c r="P20" s="11"/>
    </row>
    <row r="21" spans="2:17" ht="15" thickBot="1" x14ac:dyDescent="0.4">
      <c r="B21" s="140" t="s">
        <v>49</v>
      </c>
      <c r="C21" s="144">
        <v>5</v>
      </c>
      <c r="D21" s="144">
        <v>7</v>
      </c>
      <c r="E21" s="144">
        <v>7</v>
      </c>
      <c r="F21" s="144">
        <v>7</v>
      </c>
      <c r="G21" s="144">
        <v>5</v>
      </c>
      <c r="H21" s="147"/>
      <c r="I21" s="329"/>
      <c r="J21" s="329"/>
      <c r="K21" s="329"/>
      <c r="L21" s="329"/>
      <c r="M21" s="329"/>
      <c r="N21" s="333"/>
      <c r="O21" s="329"/>
    </row>
    <row r="22" spans="2:17" ht="15.75" customHeight="1" x14ac:dyDescent="0.35">
      <c r="B22" s="139">
        <v>46266</v>
      </c>
      <c r="C22" s="142">
        <v>0</v>
      </c>
      <c r="D22" s="142">
        <v>0</v>
      </c>
      <c r="E22" s="143">
        <v>0</v>
      </c>
      <c r="F22" s="143">
        <v>0</v>
      </c>
      <c r="G22" s="143">
        <v>0</v>
      </c>
      <c r="H22" s="146"/>
      <c r="I22" s="328">
        <f t="shared" si="28"/>
        <v>0</v>
      </c>
      <c r="J22" s="328">
        <f t="shared" ref="J22" si="38">I22*0.0925</f>
        <v>0</v>
      </c>
      <c r="K22" s="328">
        <f t="shared" ref="K22" si="39">I22-J22</f>
        <v>0</v>
      </c>
      <c r="L22" s="328">
        <f t="shared" ref="L22" si="40">K22*0.0925</f>
        <v>0</v>
      </c>
      <c r="M22" s="328">
        <f t="shared" ref="M22" si="41">K22-L22</f>
        <v>0</v>
      </c>
      <c r="N22" s="332">
        <f t="shared" si="33"/>
        <v>0</v>
      </c>
      <c r="O22" s="328">
        <f t="shared" si="27"/>
        <v>0</v>
      </c>
    </row>
    <row r="23" spans="2:17" ht="15" thickBot="1" x14ac:dyDescent="0.4">
      <c r="B23" s="140" t="s">
        <v>49</v>
      </c>
      <c r="C23" s="144">
        <v>5</v>
      </c>
      <c r="D23" s="144">
        <v>7</v>
      </c>
      <c r="E23" s="144">
        <v>7</v>
      </c>
      <c r="F23" s="144">
        <v>7</v>
      </c>
      <c r="G23" s="144">
        <v>5</v>
      </c>
      <c r="H23" s="147"/>
      <c r="I23" s="329"/>
      <c r="J23" s="329"/>
      <c r="K23" s="329"/>
      <c r="L23" s="329"/>
      <c r="M23" s="329"/>
      <c r="N23" s="333"/>
      <c r="O23" s="329"/>
    </row>
    <row r="24" spans="2:17" ht="14.25" customHeight="1" x14ac:dyDescent="0.35">
      <c r="B24" s="139">
        <v>46296</v>
      </c>
      <c r="C24" s="142">
        <v>0</v>
      </c>
      <c r="D24" s="142">
        <v>0</v>
      </c>
      <c r="E24" s="143">
        <v>0</v>
      </c>
      <c r="F24" s="143">
        <v>0</v>
      </c>
      <c r="G24" s="143">
        <v>0</v>
      </c>
      <c r="H24" s="146"/>
      <c r="I24" s="328">
        <f t="shared" ref="I24" si="42">IFERROR((C25*C24+D25*D24+E25*E24+F25*F24+G25*G24+H25*H24)/SUM(C25:H25),0)</f>
        <v>0</v>
      </c>
      <c r="J24" s="328">
        <f t="shared" ref="J24" si="43">I24*0.0925</f>
        <v>0</v>
      </c>
      <c r="K24" s="328">
        <f t="shared" ref="K24" si="44">I24-J24</f>
        <v>0</v>
      </c>
      <c r="L24" s="328">
        <f t="shared" ref="L24" si="45">K24*0.0925</f>
        <v>0</v>
      </c>
      <c r="M24" s="328">
        <f t="shared" ref="M24" si="46">K24-L24</f>
        <v>0</v>
      </c>
      <c r="N24" s="332">
        <f t="shared" ref="N24" si="47">IFERROR(L24/M24,0)</f>
        <v>0</v>
      </c>
      <c r="O24" s="328">
        <f>K24*(1+N24)</f>
        <v>0</v>
      </c>
    </row>
    <row r="25" spans="2:17" ht="15" thickBot="1" x14ac:dyDescent="0.4">
      <c r="B25" s="140" t="s">
        <v>49</v>
      </c>
      <c r="C25" s="144">
        <v>5</v>
      </c>
      <c r="D25" s="144">
        <v>7</v>
      </c>
      <c r="E25" s="144">
        <v>7</v>
      </c>
      <c r="F25" s="144">
        <v>7</v>
      </c>
      <c r="G25" s="144">
        <v>5</v>
      </c>
      <c r="H25" s="147">
        <v>0</v>
      </c>
      <c r="I25" s="329"/>
      <c r="J25" s="329"/>
      <c r="K25" s="329"/>
      <c r="L25" s="329"/>
      <c r="M25" s="329"/>
      <c r="N25" s="333"/>
      <c r="O25" s="329"/>
    </row>
    <row r="26" spans="2:17" x14ac:dyDescent="0.35">
      <c r="B26" s="139">
        <v>46327</v>
      </c>
      <c r="C26" s="142">
        <v>0</v>
      </c>
      <c r="D26" s="142">
        <v>0</v>
      </c>
      <c r="E26" s="143">
        <v>0</v>
      </c>
      <c r="F26" s="143">
        <v>0</v>
      </c>
      <c r="G26" s="143">
        <v>0</v>
      </c>
      <c r="H26" s="146"/>
      <c r="I26" s="328">
        <f>IFERROR((C27*C26+D27*D26+E27*E26+F27*F26+G27*G26+H27*H26)/SUM(C27:H27),0)</f>
        <v>0</v>
      </c>
      <c r="J26" s="328">
        <f t="shared" ref="J26" si="48">I26*0.0925</f>
        <v>0</v>
      </c>
      <c r="K26" s="328">
        <f t="shared" ref="K26" si="49">I26-J26</f>
        <v>0</v>
      </c>
      <c r="L26" s="328">
        <f t="shared" ref="L26" si="50">K26*0.0925</f>
        <v>0</v>
      </c>
      <c r="M26" s="328">
        <f t="shared" ref="M26" si="51">K26-L26</f>
        <v>0</v>
      </c>
      <c r="N26" s="332">
        <f>IFERROR(L26/M26,0)</f>
        <v>0</v>
      </c>
      <c r="O26" s="328">
        <f>K26*(1+N26)</f>
        <v>0</v>
      </c>
    </row>
    <row r="27" spans="2:17" ht="15" thickBot="1" x14ac:dyDescent="0.4">
      <c r="B27" s="140" t="s">
        <v>49</v>
      </c>
      <c r="C27" s="144">
        <v>5</v>
      </c>
      <c r="D27" s="144">
        <v>7</v>
      </c>
      <c r="E27" s="144">
        <v>7</v>
      </c>
      <c r="F27" s="144">
        <v>7</v>
      </c>
      <c r="G27" s="144">
        <v>5</v>
      </c>
      <c r="H27" s="147"/>
      <c r="I27" s="329"/>
      <c r="J27" s="329"/>
      <c r="K27" s="329"/>
      <c r="L27" s="329"/>
      <c r="M27" s="329"/>
      <c r="N27" s="333"/>
      <c r="O27" s="329"/>
    </row>
    <row r="28" spans="2:17" x14ac:dyDescent="0.35">
      <c r="B28" s="139">
        <v>46357</v>
      </c>
      <c r="C28" s="142">
        <v>0</v>
      </c>
      <c r="D28" s="142">
        <v>0</v>
      </c>
      <c r="E28" s="143">
        <v>0</v>
      </c>
      <c r="F28" s="143">
        <v>0</v>
      </c>
      <c r="G28" s="143">
        <v>0</v>
      </c>
      <c r="H28" s="146"/>
      <c r="I28" s="328">
        <f t="shared" ref="I28" si="52">IFERROR((C29*C28+D29*D28+E29*E28+F29*F28+G29*G28+H29*H28)/SUM(C29:H29),0)</f>
        <v>0</v>
      </c>
      <c r="J28" s="328">
        <f t="shared" ref="J28" si="53">I28*0.0925</f>
        <v>0</v>
      </c>
      <c r="K28" s="328">
        <f t="shared" ref="K28" si="54">I28-J28</f>
        <v>0</v>
      </c>
      <c r="L28" s="328">
        <f t="shared" ref="L28" si="55">K28*0.0925</f>
        <v>0</v>
      </c>
      <c r="M28" s="328">
        <f t="shared" ref="M28" si="56">K28-L28</f>
        <v>0</v>
      </c>
      <c r="N28" s="332">
        <f>IFERROR(L28/M28,0)</f>
        <v>0</v>
      </c>
      <c r="O28" s="328">
        <f t="shared" ref="O28" si="57">K28*(1+N28)</f>
        <v>0</v>
      </c>
      <c r="Q28" s="227"/>
    </row>
    <row r="29" spans="2:17" ht="15" thickBot="1" x14ac:dyDescent="0.4">
      <c r="B29" s="140" t="s">
        <v>49</v>
      </c>
      <c r="C29" s="144">
        <v>5</v>
      </c>
      <c r="D29" s="144">
        <v>7</v>
      </c>
      <c r="E29" s="144">
        <v>7</v>
      </c>
      <c r="F29" s="144">
        <v>7</v>
      </c>
      <c r="G29" s="144">
        <v>5</v>
      </c>
      <c r="H29" s="147"/>
      <c r="I29" s="329"/>
      <c r="J29" s="329"/>
      <c r="K29" s="329"/>
      <c r="L29" s="329"/>
      <c r="M29" s="329"/>
      <c r="N29" s="333"/>
      <c r="O29" s="329"/>
      <c r="Q29" s="227"/>
    </row>
    <row r="30" spans="2:17" x14ac:dyDescent="0.35">
      <c r="Q30" s="227"/>
    </row>
    <row r="31" spans="2:17" x14ac:dyDescent="0.35">
      <c r="Q31" s="227"/>
    </row>
    <row r="32" spans="2:17" x14ac:dyDescent="0.35">
      <c r="B32" s="163" t="s">
        <v>146</v>
      </c>
      <c r="C32" s="163"/>
      <c r="D32" s="163"/>
      <c r="E32" s="163"/>
      <c r="F32" s="163"/>
      <c r="G32" s="163"/>
      <c r="Q32" s="227"/>
    </row>
    <row r="33" spans="2:15" ht="26.25" customHeight="1" x14ac:dyDescent="0.35">
      <c r="B33" s="322" t="s">
        <v>214</v>
      </c>
      <c r="C33" s="322"/>
      <c r="D33" s="322"/>
      <c r="E33" s="322"/>
      <c r="F33" s="322"/>
      <c r="G33" s="322"/>
      <c r="H33" s="322"/>
      <c r="I33" s="322"/>
      <c r="J33" s="322"/>
      <c r="K33" s="322"/>
      <c r="L33" s="322"/>
      <c r="M33" s="322"/>
      <c r="N33" s="322"/>
      <c r="O33" s="322"/>
    </row>
    <row r="34" spans="2:15" x14ac:dyDescent="0.35">
      <c r="B34" s="266" t="s">
        <v>256</v>
      </c>
    </row>
  </sheetData>
  <mergeCells count="87">
    <mergeCell ref="N26:N27"/>
    <mergeCell ref="O26:O27"/>
    <mergeCell ref="I28:I29"/>
    <mergeCell ref="J28:J29"/>
    <mergeCell ref="K28:K29"/>
    <mergeCell ref="L28:L29"/>
    <mergeCell ref="M28:M29"/>
    <mergeCell ref="N28:N29"/>
    <mergeCell ref="O28:O29"/>
    <mergeCell ref="I26:I27"/>
    <mergeCell ref="J26:J27"/>
    <mergeCell ref="K26:K27"/>
    <mergeCell ref="L26:L27"/>
    <mergeCell ref="M26:M27"/>
    <mergeCell ref="N22:N23"/>
    <mergeCell ref="O22:O23"/>
    <mergeCell ref="I24:I25"/>
    <mergeCell ref="J24:J25"/>
    <mergeCell ref="K24:K25"/>
    <mergeCell ref="L24:L25"/>
    <mergeCell ref="M24:M25"/>
    <mergeCell ref="N24:N25"/>
    <mergeCell ref="O24:O25"/>
    <mergeCell ref="I22:I23"/>
    <mergeCell ref="J22:J23"/>
    <mergeCell ref="K22:K23"/>
    <mergeCell ref="L22:L23"/>
    <mergeCell ref="M22:M23"/>
    <mergeCell ref="N18:N19"/>
    <mergeCell ref="O18:O19"/>
    <mergeCell ref="I20:I21"/>
    <mergeCell ref="J20:J21"/>
    <mergeCell ref="K20:K21"/>
    <mergeCell ref="L20:L21"/>
    <mergeCell ref="M20:M21"/>
    <mergeCell ref="N20:N21"/>
    <mergeCell ref="O20:O21"/>
    <mergeCell ref="I18:I19"/>
    <mergeCell ref="J18:J19"/>
    <mergeCell ref="K18:K19"/>
    <mergeCell ref="L18:L19"/>
    <mergeCell ref="M18:M19"/>
    <mergeCell ref="N14:N15"/>
    <mergeCell ref="O14:O15"/>
    <mergeCell ref="I16:I17"/>
    <mergeCell ref="J16:J17"/>
    <mergeCell ref="K16:K17"/>
    <mergeCell ref="L16:L17"/>
    <mergeCell ref="M16:M17"/>
    <mergeCell ref="N16:N17"/>
    <mergeCell ref="O16:O17"/>
    <mergeCell ref="I14:I15"/>
    <mergeCell ref="J14:J15"/>
    <mergeCell ref="K14:K15"/>
    <mergeCell ref="L14:L15"/>
    <mergeCell ref="M14:M15"/>
    <mergeCell ref="O8:O9"/>
    <mergeCell ref="N10:N11"/>
    <mergeCell ref="O10:O11"/>
    <mergeCell ref="I12:I13"/>
    <mergeCell ref="J12:J13"/>
    <mergeCell ref="K12:K13"/>
    <mergeCell ref="L12:L13"/>
    <mergeCell ref="M12:M13"/>
    <mergeCell ref="N12:N13"/>
    <mergeCell ref="O12:O13"/>
    <mergeCell ref="I10:I11"/>
    <mergeCell ref="J10:J11"/>
    <mergeCell ref="K10:K11"/>
    <mergeCell ref="L10:L11"/>
    <mergeCell ref="M10:M11"/>
    <mergeCell ref="B33:O33"/>
    <mergeCell ref="B1:O3"/>
    <mergeCell ref="L4:N4"/>
    <mergeCell ref="I6:I7"/>
    <mergeCell ref="J6:J7"/>
    <mergeCell ref="K6:K7"/>
    <mergeCell ref="L6:L7"/>
    <mergeCell ref="M6:M7"/>
    <mergeCell ref="N6:N7"/>
    <mergeCell ref="O6:O7"/>
    <mergeCell ref="I8:I9"/>
    <mergeCell ref="J8:J9"/>
    <mergeCell ref="K8:K9"/>
    <mergeCell ref="L8:L9"/>
    <mergeCell ref="M8:M9"/>
    <mergeCell ref="N8:N9"/>
  </mergeCells>
  <phoneticPr fontId="3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13"/>
  <dimension ref="A1:L43"/>
  <sheetViews>
    <sheetView showGridLines="0" topLeftCell="A28" workbookViewId="0">
      <selection activeCell="I25" sqref="I25"/>
    </sheetView>
  </sheetViews>
  <sheetFormatPr defaultRowHeight="14.5" x14ac:dyDescent="0.35"/>
  <cols>
    <col min="2" max="2" width="10.7265625" style="7" customWidth="1"/>
    <col min="3" max="3" width="18.81640625" style="30" customWidth="1"/>
    <col min="4" max="4" width="11" style="31" customWidth="1"/>
    <col min="5" max="5" width="11.453125" style="28" customWidth="1"/>
  </cols>
  <sheetData>
    <row r="1" spans="1:12" ht="15" customHeight="1" x14ac:dyDescent="0.35">
      <c r="A1" s="336" t="s">
        <v>178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</row>
    <row r="2" spans="1:12" ht="15" customHeight="1" x14ac:dyDescent="0.35">
      <c r="A2" s="336"/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6"/>
    </row>
    <row r="3" spans="1:12" ht="18.75" customHeight="1" x14ac:dyDescent="0.35">
      <c r="A3" s="336"/>
      <c r="B3" s="336"/>
      <c r="C3" s="336"/>
      <c r="D3" s="336"/>
      <c r="E3" s="336"/>
      <c r="F3" s="336"/>
      <c r="G3" s="336"/>
      <c r="H3" s="336"/>
      <c r="I3" s="336"/>
      <c r="J3" s="336"/>
      <c r="K3" s="336"/>
      <c r="L3" s="336"/>
    </row>
    <row r="5" spans="1:12" s="8" customFormat="1" x14ac:dyDescent="0.35">
      <c r="B5" s="21" t="s">
        <v>59</v>
      </c>
      <c r="C5" s="29"/>
      <c r="D5" s="55">
        <v>2554857.64</v>
      </c>
      <c r="E5" s="25"/>
    </row>
    <row r="6" spans="1:12" s="3" customFormat="1" ht="33.75" customHeight="1" x14ac:dyDescent="0.35">
      <c r="B6" s="337" t="s">
        <v>177</v>
      </c>
      <c r="C6" s="337"/>
      <c r="D6" s="337"/>
      <c r="E6" s="337"/>
    </row>
    <row r="7" spans="1:12" s="3" customFormat="1" ht="58" x14ac:dyDescent="0.35">
      <c r="B7" s="46" t="s">
        <v>75</v>
      </c>
      <c r="C7" s="45" t="s">
        <v>145</v>
      </c>
      <c r="D7" s="45" t="s">
        <v>58</v>
      </c>
      <c r="E7" s="49" t="s">
        <v>76</v>
      </c>
    </row>
    <row r="8" spans="1:12" x14ac:dyDescent="0.35">
      <c r="B8" s="50">
        <v>43131</v>
      </c>
      <c r="C8" s="47">
        <v>100000</v>
      </c>
      <c r="D8" s="51">
        <v>127354.1</v>
      </c>
      <c r="E8" s="48">
        <f>C8-D8</f>
        <v>-27354.100000000006</v>
      </c>
    </row>
    <row r="9" spans="1:12" x14ac:dyDescent="0.35">
      <c r="B9" s="50">
        <v>43159</v>
      </c>
      <c r="C9" s="47">
        <v>100000</v>
      </c>
      <c r="D9" s="51">
        <v>133666</v>
      </c>
      <c r="E9" s="48">
        <f t="shared" ref="E9:E18" si="0">E8+C9-D9</f>
        <v>-61020.100000000006</v>
      </c>
    </row>
    <row r="10" spans="1:12" x14ac:dyDescent="0.35">
      <c r="B10" s="50">
        <v>43190</v>
      </c>
      <c r="C10" s="47">
        <v>100000</v>
      </c>
      <c r="D10" s="51">
        <v>129109</v>
      </c>
      <c r="E10" s="26">
        <f t="shared" si="0"/>
        <v>-90129.1</v>
      </c>
    </row>
    <row r="11" spans="1:12" x14ac:dyDescent="0.35">
      <c r="B11" s="50">
        <v>43220</v>
      </c>
      <c r="C11" s="47">
        <v>100000</v>
      </c>
      <c r="D11" s="51">
        <v>106028</v>
      </c>
      <c r="E11" s="48">
        <f t="shared" si="0"/>
        <v>-96157.1</v>
      </c>
    </row>
    <row r="12" spans="1:12" x14ac:dyDescent="0.35">
      <c r="B12" s="50">
        <v>43251</v>
      </c>
      <c r="C12" s="47">
        <v>100000</v>
      </c>
      <c r="D12" s="51">
        <v>116238</v>
      </c>
      <c r="E12" s="48">
        <f t="shared" si="0"/>
        <v>-112395.1</v>
      </c>
    </row>
    <row r="13" spans="1:12" x14ac:dyDescent="0.35">
      <c r="B13" s="50">
        <v>43281</v>
      </c>
      <c r="C13" s="47">
        <v>100000</v>
      </c>
      <c r="D13" s="51">
        <v>104799</v>
      </c>
      <c r="E13" s="26">
        <f t="shared" si="0"/>
        <v>-117194.1</v>
      </c>
    </row>
    <row r="14" spans="1:12" x14ac:dyDescent="0.35">
      <c r="B14" s="50">
        <v>43312</v>
      </c>
      <c r="C14" s="47">
        <v>100000</v>
      </c>
      <c r="D14" s="51">
        <v>107830</v>
      </c>
      <c r="E14" s="26">
        <f t="shared" si="0"/>
        <v>-125024.1</v>
      </c>
    </row>
    <row r="15" spans="1:12" x14ac:dyDescent="0.35">
      <c r="B15" s="50">
        <v>43343</v>
      </c>
      <c r="C15" s="47">
        <v>100000</v>
      </c>
      <c r="D15" s="51">
        <v>132856</v>
      </c>
      <c r="E15" s="26">
        <f t="shared" si="0"/>
        <v>-157880.1</v>
      </c>
    </row>
    <row r="16" spans="1:12" x14ac:dyDescent="0.35">
      <c r="B16" s="50">
        <v>43373</v>
      </c>
      <c r="C16" s="47">
        <v>100000</v>
      </c>
      <c r="D16" s="51">
        <v>108273</v>
      </c>
      <c r="E16" s="26">
        <f t="shared" si="0"/>
        <v>-166153.1</v>
      </c>
    </row>
    <row r="17" spans="2:5" x14ac:dyDescent="0.35">
      <c r="B17" s="50">
        <v>43404</v>
      </c>
      <c r="C17" s="47">
        <v>100000</v>
      </c>
      <c r="D17" s="51">
        <v>122587</v>
      </c>
      <c r="E17" s="26">
        <f t="shared" si="0"/>
        <v>-188740.1</v>
      </c>
    </row>
    <row r="18" spans="2:5" x14ac:dyDescent="0.35">
      <c r="B18" s="50">
        <v>43434</v>
      </c>
      <c r="C18" s="47">
        <v>100000</v>
      </c>
      <c r="D18" s="51">
        <v>121345</v>
      </c>
      <c r="E18" s="26">
        <f t="shared" si="0"/>
        <v>-210085.1</v>
      </c>
    </row>
    <row r="19" spans="2:5" x14ac:dyDescent="0.35">
      <c r="B19" s="50">
        <v>43465</v>
      </c>
      <c r="C19" s="47">
        <v>100000</v>
      </c>
      <c r="D19" s="51">
        <v>47451</v>
      </c>
      <c r="E19" s="52">
        <f>IF(E18+C19-D19&lt;0,0,E18+C19-D19)</f>
        <v>0</v>
      </c>
    </row>
    <row r="20" spans="2:5" x14ac:dyDescent="0.35">
      <c r="B20" s="50">
        <v>43496</v>
      </c>
      <c r="C20" s="47">
        <v>100000</v>
      </c>
      <c r="D20" s="51">
        <v>0</v>
      </c>
      <c r="E20" s="26">
        <f>C20-D20</f>
        <v>100000</v>
      </c>
    </row>
    <row r="21" spans="2:5" x14ac:dyDescent="0.35">
      <c r="B21" s="50">
        <v>43524</v>
      </c>
      <c r="C21" s="47">
        <v>100000</v>
      </c>
      <c r="D21" s="51">
        <v>0</v>
      </c>
      <c r="E21" s="26">
        <f t="shared" ref="E21:E30" si="1">E20+C21-D21</f>
        <v>200000</v>
      </c>
    </row>
    <row r="22" spans="2:5" x14ac:dyDescent="0.35">
      <c r="B22" s="50">
        <v>43555</v>
      </c>
      <c r="C22" s="47">
        <v>100000</v>
      </c>
      <c r="D22" s="51">
        <v>1624</v>
      </c>
      <c r="E22" s="26">
        <f t="shared" si="1"/>
        <v>298376</v>
      </c>
    </row>
    <row r="23" spans="2:5" x14ac:dyDescent="0.35">
      <c r="B23" s="50">
        <v>43585</v>
      </c>
      <c r="C23" s="47">
        <v>100000</v>
      </c>
      <c r="D23" s="51">
        <v>112473</v>
      </c>
      <c r="E23" s="26">
        <f t="shared" si="1"/>
        <v>285903</v>
      </c>
    </row>
    <row r="24" spans="2:5" x14ac:dyDescent="0.35">
      <c r="B24" s="50">
        <v>43616</v>
      </c>
      <c r="C24" s="47">
        <v>100000</v>
      </c>
      <c r="D24" s="51">
        <v>169527.43999999994</v>
      </c>
      <c r="E24" s="26">
        <f t="shared" si="1"/>
        <v>216375.56000000006</v>
      </c>
    </row>
    <row r="25" spans="2:5" x14ac:dyDescent="0.35">
      <c r="B25" s="50">
        <v>43646</v>
      </c>
      <c r="C25" s="47">
        <v>100000</v>
      </c>
      <c r="D25" s="51">
        <v>178726</v>
      </c>
      <c r="E25" s="48">
        <f t="shared" si="1"/>
        <v>137649.56000000006</v>
      </c>
    </row>
    <row r="26" spans="2:5" x14ac:dyDescent="0.35">
      <c r="B26" s="50">
        <v>43677</v>
      </c>
      <c r="C26" s="47">
        <v>100000</v>
      </c>
      <c r="D26" s="51">
        <v>154606</v>
      </c>
      <c r="E26" s="26">
        <f t="shared" si="1"/>
        <v>83043.560000000056</v>
      </c>
    </row>
    <row r="27" spans="2:5" x14ac:dyDescent="0.35">
      <c r="B27" s="50">
        <v>43708</v>
      </c>
      <c r="C27" s="47">
        <v>100000</v>
      </c>
      <c r="D27" s="51">
        <v>174506</v>
      </c>
      <c r="E27" s="26">
        <f t="shared" si="1"/>
        <v>8537.5600000000559</v>
      </c>
    </row>
    <row r="28" spans="2:5" x14ac:dyDescent="0.35">
      <c r="B28" s="50">
        <v>43738</v>
      </c>
      <c r="C28" s="47">
        <v>100000</v>
      </c>
      <c r="D28" s="51">
        <v>171100</v>
      </c>
      <c r="E28" s="26">
        <f t="shared" si="1"/>
        <v>-62562.439999999944</v>
      </c>
    </row>
    <row r="29" spans="2:5" x14ac:dyDescent="0.35">
      <c r="B29" s="50">
        <v>43769</v>
      </c>
      <c r="C29" s="47">
        <v>100000</v>
      </c>
      <c r="D29" s="51">
        <v>133619</v>
      </c>
      <c r="E29" s="26">
        <f t="shared" si="1"/>
        <v>-96181.439999999944</v>
      </c>
    </row>
    <row r="30" spans="2:5" x14ac:dyDescent="0.35">
      <c r="B30" s="50">
        <v>43799</v>
      </c>
      <c r="C30" s="47">
        <v>100000</v>
      </c>
      <c r="D30" s="51">
        <v>173125</v>
      </c>
      <c r="E30" s="26">
        <f t="shared" si="1"/>
        <v>-169306.43999999994</v>
      </c>
    </row>
    <row r="31" spans="2:5" x14ac:dyDescent="0.35">
      <c r="B31" s="50">
        <v>43830</v>
      </c>
      <c r="C31" s="47">
        <v>100000</v>
      </c>
      <c r="D31" s="51">
        <v>202947</v>
      </c>
      <c r="E31" s="52">
        <f>IF(E30+C31-D31&lt;0,0,E30+C31-D31)</f>
        <v>0</v>
      </c>
    </row>
    <row r="32" spans="2:5" x14ac:dyDescent="0.35">
      <c r="B32" s="50">
        <v>43861</v>
      </c>
      <c r="C32" s="47">
        <v>100000</v>
      </c>
      <c r="D32" s="51">
        <v>178232</v>
      </c>
      <c r="E32" s="26">
        <f>C32-D32</f>
        <v>-78232</v>
      </c>
    </row>
    <row r="33" spans="2:5" x14ac:dyDescent="0.35">
      <c r="B33" s="50">
        <v>43890</v>
      </c>
      <c r="C33" s="47">
        <v>100000</v>
      </c>
      <c r="D33" s="51">
        <v>175035</v>
      </c>
      <c r="E33" s="26">
        <f>E32+C33-D33</f>
        <v>-153267</v>
      </c>
    </row>
    <row r="34" spans="2:5" x14ac:dyDescent="0.35">
      <c r="B34" s="50">
        <v>43921</v>
      </c>
      <c r="C34" s="47">
        <v>100000</v>
      </c>
      <c r="D34" s="51">
        <v>166525</v>
      </c>
      <c r="E34" s="26">
        <f>E33+C34-D34</f>
        <v>-219792</v>
      </c>
    </row>
    <row r="35" spans="2:5" x14ac:dyDescent="0.35">
      <c r="B35" s="50">
        <v>43951</v>
      </c>
      <c r="C35" s="47">
        <v>100000</v>
      </c>
      <c r="D35" s="51">
        <v>18366</v>
      </c>
      <c r="E35" s="26">
        <f>E34+C35-D35</f>
        <v>-138158</v>
      </c>
    </row>
    <row r="36" spans="2:5" x14ac:dyDescent="0.35">
      <c r="B36" s="50">
        <v>43982</v>
      </c>
      <c r="C36" s="47">
        <v>100000</v>
      </c>
      <c r="D36" s="51">
        <v>155615</v>
      </c>
      <c r="E36" s="26">
        <f t="shared" ref="E36:E42" si="2">E35+C36-D36</f>
        <v>-193773</v>
      </c>
    </row>
    <row r="37" spans="2:5" x14ac:dyDescent="0.35">
      <c r="B37" s="50">
        <v>44012</v>
      </c>
      <c r="C37" s="47"/>
      <c r="D37" s="51"/>
      <c r="E37" s="26">
        <f t="shared" si="2"/>
        <v>-193773</v>
      </c>
    </row>
    <row r="38" spans="2:5" x14ac:dyDescent="0.35">
      <c r="B38" s="50">
        <v>44043</v>
      </c>
      <c r="C38" s="47"/>
      <c r="D38" s="51"/>
      <c r="E38" s="26">
        <f t="shared" si="2"/>
        <v>-193773</v>
      </c>
    </row>
    <row r="39" spans="2:5" x14ac:dyDescent="0.35">
      <c r="B39" s="50">
        <v>44074</v>
      </c>
      <c r="C39" s="47"/>
      <c r="D39" s="51"/>
      <c r="E39" s="26">
        <f t="shared" si="2"/>
        <v>-193773</v>
      </c>
    </row>
    <row r="40" spans="2:5" x14ac:dyDescent="0.35">
      <c r="B40" s="50">
        <v>44104</v>
      </c>
      <c r="C40" s="47"/>
      <c r="D40" s="51"/>
      <c r="E40" s="26">
        <f t="shared" si="2"/>
        <v>-193773</v>
      </c>
    </row>
    <row r="41" spans="2:5" x14ac:dyDescent="0.35">
      <c r="B41" s="50">
        <v>44135</v>
      </c>
      <c r="C41" s="47"/>
      <c r="D41" s="51"/>
      <c r="E41" s="26">
        <f t="shared" si="2"/>
        <v>-193773</v>
      </c>
    </row>
    <row r="42" spans="2:5" x14ac:dyDescent="0.35">
      <c r="B42" s="50">
        <v>44165</v>
      </c>
      <c r="C42" s="47"/>
      <c r="D42" s="51"/>
      <c r="E42" s="26">
        <f t="shared" si="2"/>
        <v>-193773</v>
      </c>
    </row>
    <row r="43" spans="2:5" x14ac:dyDescent="0.35">
      <c r="B43" s="50">
        <v>44196</v>
      </c>
      <c r="C43" s="47"/>
      <c r="D43" s="51"/>
      <c r="E43" s="27">
        <f>IF(E42+C43-D43&lt;0,0,E42+C43-D43)</f>
        <v>0</v>
      </c>
    </row>
  </sheetData>
  <mergeCells count="2">
    <mergeCell ref="A1:L3"/>
    <mergeCell ref="B6:E6"/>
  </mergeCells>
  <pageMargins left="0.511811024" right="0.511811024" top="0.78740157499999996" bottom="0.78740157499999996" header="0.31496062000000002" footer="0.31496062000000002"/>
  <pageSetup orientation="portrait" horizontalDpi="300" verticalDpi="0" copies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17</vt:i4>
      </vt:variant>
    </vt:vector>
  </HeadingPairs>
  <TitlesOfParts>
    <vt:vector size="17" baseType="lpstr">
      <vt:lpstr>Introdução</vt:lpstr>
      <vt:lpstr>Carvão &amp; Total</vt:lpstr>
      <vt:lpstr>NF carvão</vt:lpstr>
      <vt:lpstr>Secund</vt:lpstr>
      <vt:lpstr>NF Diesel</vt:lpstr>
      <vt:lpstr>ANP Diesel</vt:lpstr>
      <vt:lpstr>NF Óleo Comb</vt:lpstr>
      <vt:lpstr>ANP Óleo Comb</vt:lpstr>
      <vt:lpstr>Estoque Carv</vt:lpstr>
      <vt:lpstr>Parâmetros</vt:lpstr>
      <vt:lpstr>Acompanhamento Ea-1</vt:lpstr>
      <vt:lpstr>SCD</vt:lpstr>
      <vt:lpstr>Reprocessamentos</vt:lpstr>
      <vt:lpstr>Financeiro</vt:lpstr>
      <vt:lpstr>Exportação</vt:lpstr>
      <vt:lpstr>Fiscalização Financeira</vt:lpstr>
      <vt:lpstr>Tributos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Agência Nacional de Energia Elétrica</dc:creator>
  <cp:lastModifiedBy>Gabriela Mota</cp:lastModifiedBy>
  <cp:lastPrinted>2024-01-30T12:53:58Z</cp:lastPrinted>
  <dcterms:created xsi:type="dcterms:W3CDTF">2020-02-13T14:17:37Z</dcterms:created>
  <dcterms:modified xsi:type="dcterms:W3CDTF">2026-03-17T20:45:52Z</dcterms:modified>
</cp:coreProperties>
</file>