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Z:\GCSE\CONTA CCC\1 OPERAÇÕES\2025\06. Junho25\Sub-rogação\Memória de Cálculo\"/>
    </mc:Choice>
  </mc:AlternateContent>
  <xr:revisionPtr revIDLastSave="0" documentId="13_ncr:1_{E6310250-31DA-42B8-B934-D5E56DB1719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sumo" sheetId="10" r:id="rId1"/>
    <sheet name="LT COMODORO" sheetId="3" r:id="rId2"/>
    <sheet name="PARANORTE" sheetId="8" r:id="rId3"/>
    <sheet name="GUARIBA" sheetId="11" r:id="rId4"/>
    <sheet name="RONDOLÂNDIA" sheetId="9" r:id="rId5"/>
    <sheet name="IPCA" sheetId="6" r:id="rId6"/>
    <sheet name="IGP-M" sheetId="5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3" i="11" l="1"/>
  <c r="I103" i="8"/>
  <c r="F145" i="10" s="1"/>
  <c r="G145" i="10"/>
  <c r="D149" i="10"/>
  <c r="G143" i="10"/>
  <c r="F144" i="10"/>
  <c r="G144" i="10"/>
  <c r="J41" i="11"/>
  <c r="J42" i="11"/>
  <c r="I101" i="8"/>
  <c r="F143" i="10" s="1"/>
  <c r="I102" i="8"/>
  <c r="J40" i="11"/>
  <c r="G142" i="10" s="1"/>
  <c r="I100" i="8"/>
  <c r="F142" i="10" s="1"/>
  <c r="J39" i="11"/>
  <c r="G141" i="10" s="1"/>
  <c r="I99" i="8"/>
  <c r="F141" i="10"/>
  <c r="J38" i="11"/>
  <c r="G140" i="10" s="1"/>
  <c r="I98" i="8"/>
  <c r="F140" i="10" s="1"/>
  <c r="H143" i="10" l="1"/>
  <c r="H144" i="10"/>
  <c r="H145" i="10"/>
  <c r="H142" i="10"/>
  <c r="H141" i="10"/>
  <c r="H140" i="10"/>
  <c r="J33" i="11"/>
  <c r="J34" i="11"/>
  <c r="J35" i="11"/>
  <c r="J37" i="11"/>
  <c r="G139" i="10" s="1"/>
  <c r="I94" i="8"/>
  <c r="I95" i="8"/>
  <c r="I96" i="8"/>
  <c r="I97" i="8"/>
  <c r="F139" i="10"/>
  <c r="H139" i="10" l="1"/>
  <c r="G138" i="10"/>
  <c r="F138" i="10"/>
  <c r="J138" i="3"/>
  <c r="G137" i="10"/>
  <c r="F137" i="10"/>
  <c r="H138" i="10" l="1"/>
  <c r="H137" i="10"/>
  <c r="D136" i="10"/>
  <c r="F136" i="10"/>
  <c r="G136" i="10"/>
  <c r="G135" i="10"/>
  <c r="G93" i="8"/>
  <c r="I93" i="8" s="1"/>
  <c r="F135" i="10" s="1"/>
  <c r="D135" i="10"/>
  <c r="J32" i="11"/>
  <c r="G134" i="10" s="1"/>
  <c r="I92" i="8"/>
  <c r="F134" i="10" s="1"/>
  <c r="I91" i="8"/>
  <c r="J137" i="3"/>
  <c r="D134" i="10"/>
  <c r="H136" i="10" l="1"/>
  <c r="H135" i="10"/>
  <c r="H134" i="10"/>
  <c r="J31" i="11" l="1"/>
  <c r="G133" i="10" s="1"/>
  <c r="J136" i="3"/>
  <c r="D133" i="10" s="1"/>
  <c r="J30" i="11"/>
  <c r="G132" i="10" s="1"/>
  <c r="G90" i="8"/>
  <c r="I90" i="8" s="1"/>
  <c r="F133" i="10" s="1"/>
  <c r="J135" i="3"/>
  <c r="D132" i="10" s="1"/>
  <c r="H133" i="10" l="1"/>
  <c r="F132" i="10"/>
  <c r="H132" i="10" s="1"/>
  <c r="J134" i="3"/>
  <c r="D131" i="10" s="1"/>
  <c r="G89" i="8"/>
  <c r="I89" i="8" s="1"/>
  <c r="F131" i="10" s="1"/>
  <c r="J29" i="11"/>
  <c r="G131" i="10" s="1"/>
  <c r="H131" i="10" l="1"/>
  <c r="J133" i="3"/>
  <c r="D130" i="10" s="1"/>
  <c r="J132" i="3"/>
  <c r="J131" i="3"/>
  <c r="J130" i="3"/>
  <c r="G88" i="8"/>
  <c r="I88" i="8" s="1"/>
  <c r="F130" i="10" s="1"/>
  <c r="J28" i="11"/>
  <c r="G130" i="10" s="1"/>
  <c r="J27" i="11"/>
  <c r="J26" i="11"/>
  <c r="H130" i="10" l="1"/>
  <c r="G129" i="10" l="1"/>
  <c r="D129" i="10"/>
  <c r="G87" i="8"/>
  <c r="I87" i="8" s="1"/>
  <c r="F129" i="10" s="1"/>
  <c r="H129" i="10" l="1"/>
  <c r="G128" i="10"/>
  <c r="F128" i="10"/>
  <c r="D128" i="10"/>
  <c r="J24" i="11"/>
  <c r="G126" i="10" s="1"/>
  <c r="I84" i="8"/>
  <c r="F126" i="10" s="1"/>
  <c r="J129" i="3"/>
  <c r="L129" i="3" s="1"/>
  <c r="D127" i="10"/>
  <c r="J25" i="11"/>
  <c r="G127" i="10" s="1"/>
  <c r="I85" i="8"/>
  <c r="F127" i="10" s="1"/>
  <c r="L130" i="3"/>
  <c r="I40" i="9"/>
  <c r="D126" i="10" l="1"/>
  <c r="H126" i="10" s="1"/>
  <c r="H128" i="10"/>
  <c r="H127" i="10"/>
  <c r="J23" i="11"/>
  <c r="G125" i="10" s="1"/>
  <c r="I83" i="8"/>
  <c r="F125" i="10" s="1"/>
  <c r="J128" i="3"/>
  <c r="D125" i="10" l="1"/>
  <c r="H125" i="10" s="1"/>
  <c r="L128" i="3"/>
  <c r="J22" i="11"/>
  <c r="G124" i="10" s="1"/>
  <c r="J127" i="3"/>
  <c r="I82" i="8"/>
  <c r="F124" i="10" s="1"/>
  <c r="D124" i="10" l="1"/>
  <c r="H124" i="10" s="1"/>
  <c r="L127" i="3"/>
  <c r="J126" i="3"/>
  <c r="D123" i="10" s="1"/>
  <c r="I81" i="8"/>
  <c r="F123" i="10" s="1"/>
  <c r="J21" i="11"/>
  <c r="G123" i="10" s="1"/>
  <c r="H123" i="10" l="1"/>
  <c r="J19" i="11"/>
  <c r="G121" i="10" s="1"/>
  <c r="J20" i="11"/>
  <c r="G122" i="10" s="1"/>
  <c r="I79" i="8"/>
  <c r="F121" i="10" s="1"/>
  <c r="I80" i="8"/>
  <c r="F122" i="10" s="1"/>
  <c r="J124" i="3"/>
  <c r="J125" i="3"/>
  <c r="D122" i="10" s="1"/>
  <c r="J17" i="11"/>
  <c r="G119" i="10" s="1"/>
  <c r="I77" i="8"/>
  <c r="F119" i="10" s="1"/>
  <c r="D121" i="10" l="1"/>
  <c r="H121" i="10" s="1"/>
  <c r="L124" i="3"/>
  <c r="H122" i="10"/>
  <c r="J122" i="3"/>
  <c r="J18" i="11"/>
  <c r="G120" i="10" s="1"/>
  <c r="I78" i="8"/>
  <c r="F120" i="10" s="1"/>
  <c r="J123" i="3"/>
  <c r="D120" i="10" s="1"/>
  <c r="D119" i="10" l="1"/>
  <c r="L122" i="3"/>
  <c r="J16" i="11"/>
  <c r="G118" i="10" s="1"/>
  <c r="I76" i="8"/>
  <c r="F118" i="10" s="1"/>
  <c r="H120" i="10" l="1"/>
  <c r="J121" i="3"/>
  <c r="D118" i="10" s="1"/>
  <c r="J15" i="11"/>
  <c r="G117" i="10" s="1"/>
  <c r="I75" i="8"/>
  <c r="F117" i="10" s="1"/>
  <c r="J120" i="3"/>
  <c r="D117" i="10" l="1"/>
  <c r="H117" i="10" s="1"/>
  <c r="L120" i="3"/>
  <c r="H119" i="10"/>
  <c r="H118" i="10"/>
  <c r="J13" i="11"/>
  <c r="J14" i="11"/>
  <c r="G116" i="10" s="1"/>
  <c r="I72" i="8"/>
  <c r="I73" i="8"/>
  <c r="I74" i="8"/>
  <c r="F116" i="10" s="1"/>
  <c r="J117" i="3"/>
  <c r="J118" i="3"/>
  <c r="J119" i="3"/>
  <c r="D116" i="10" l="1"/>
  <c r="H116" i="10" s="1"/>
  <c r="L119" i="3"/>
  <c r="G147" i="10"/>
  <c r="F147" i="10"/>
  <c r="G115" i="10"/>
  <c r="J12" i="11"/>
  <c r="G114" i="10" s="1"/>
  <c r="J11" i="11"/>
  <c r="G113" i="10" s="1"/>
  <c r="J10" i="11"/>
  <c r="G112" i="10" s="1"/>
  <c r="J9" i="11"/>
  <c r="E147" i="10"/>
  <c r="D147" i="10"/>
  <c r="E74" i="10"/>
  <c r="F115" i="10"/>
  <c r="I71" i="8"/>
  <c r="F113" i="10" s="1"/>
  <c r="I70" i="8"/>
  <c r="F112" i="10" s="1"/>
  <c r="I69" i="8"/>
  <c r="F111" i="10" s="1"/>
  <c r="I68" i="8"/>
  <c r="F110" i="10" s="1"/>
  <c r="I67" i="8"/>
  <c r="F109" i="10" s="1"/>
  <c r="I66" i="8"/>
  <c r="F108" i="10" s="1"/>
  <c r="I65" i="8"/>
  <c r="F107" i="10" s="1"/>
  <c r="I64" i="8"/>
  <c r="F106" i="10" s="1"/>
  <c r="I63" i="8"/>
  <c r="F105" i="10" s="1"/>
  <c r="I62" i="8"/>
  <c r="F104" i="10" s="1"/>
  <c r="D115" i="10"/>
  <c r="D114" i="10"/>
  <c r="J116" i="3"/>
  <c r="J115" i="3"/>
  <c r="J114" i="3"/>
  <c r="J113" i="3"/>
  <c r="J112" i="3"/>
  <c r="J111" i="3"/>
  <c r="J110" i="3"/>
  <c r="J109" i="3"/>
  <c r="J108" i="3"/>
  <c r="J107" i="3"/>
  <c r="E53" i="11" l="1"/>
  <c r="E57" i="11"/>
  <c r="E49" i="11"/>
  <c r="E50" i="11" s="1"/>
  <c r="E52" i="11" s="1"/>
  <c r="D111" i="10"/>
  <c r="L114" i="3"/>
  <c r="D109" i="10"/>
  <c r="H109" i="10" s="1"/>
  <c r="L112" i="3"/>
  <c r="D108" i="10"/>
  <c r="H108" i="10" s="1"/>
  <c r="L111" i="3"/>
  <c r="D104" i="10"/>
  <c r="H104" i="10" s="1"/>
  <c r="L107" i="3"/>
  <c r="D105" i="10"/>
  <c r="H105" i="10" s="1"/>
  <c r="L108" i="3"/>
  <c r="D106" i="10"/>
  <c r="H106" i="10" s="1"/>
  <c r="L109" i="3"/>
  <c r="D110" i="10"/>
  <c r="H110" i="10" s="1"/>
  <c r="L113" i="3"/>
  <c r="D112" i="10"/>
  <c r="H112" i="10" s="1"/>
  <c r="L115" i="3"/>
  <c r="D113" i="10"/>
  <c r="H113" i="10" s="1"/>
  <c r="L116" i="3"/>
  <c r="D107" i="10"/>
  <c r="H107" i="10" s="1"/>
  <c r="L110" i="3"/>
  <c r="G111" i="10"/>
  <c r="G148" i="10" s="1"/>
  <c r="F114" i="10"/>
  <c r="H114" i="10" s="1"/>
  <c r="H115" i="10"/>
  <c r="H111" i="10" l="1"/>
  <c r="J106" i="3"/>
  <c r="D103" i="10" s="1"/>
  <c r="I61" i="8"/>
  <c r="F103" i="10" s="1"/>
  <c r="G149" i="10" l="1"/>
  <c r="E54" i="11"/>
  <c r="E56" i="11" s="1"/>
  <c r="J105" i="3"/>
  <c r="D102" i="10" s="1"/>
  <c r="I60" i="8"/>
  <c r="F102" i="10" s="1"/>
  <c r="I59" i="8"/>
  <c r="F101" i="10" s="1"/>
  <c r="J104" i="3"/>
  <c r="D101" i="10" s="1"/>
  <c r="J103" i="3"/>
  <c r="D100" i="10" s="1"/>
  <c r="I58" i="8"/>
  <c r="F100" i="10" s="1"/>
  <c r="I57" i="8"/>
  <c r="F99" i="10" s="1"/>
  <c r="J102" i="3"/>
  <c r="D99" i="10" s="1"/>
  <c r="I56" i="8"/>
  <c r="F98" i="10" s="1"/>
  <c r="J101" i="3"/>
  <c r="D98" i="10" s="1"/>
  <c r="J100" i="3"/>
  <c r="D97" i="10" s="1"/>
  <c r="I55" i="8"/>
  <c r="F97" i="10" s="1"/>
  <c r="E58" i="11" l="1"/>
  <c r="G146" i="10" s="1"/>
  <c r="I54" i="8"/>
  <c r="F96" i="10" l="1"/>
  <c r="J99" i="3"/>
  <c r="D96" i="10" s="1"/>
  <c r="J98" i="3" l="1"/>
  <c r="D95" i="10" s="1"/>
  <c r="G53" i="8"/>
  <c r="I53" i="8" s="1"/>
  <c r="F95" i="10" s="1"/>
  <c r="G52" i="8" l="1"/>
  <c r="I52" i="8" l="1"/>
  <c r="F94" i="10" s="1"/>
  <c r="J97" i="3"/>
  <c r="D94" i="10" s="1"/>
  <c r="J96" i="3" l="1"/>
  <c r="D93" i="10" s="1"/>
  <c r="I51" i="8"/>
  <c r="F93" i="10" s="1"/>
  <c r="I50" i="8" l="1"/>
  <c r="F92" i="10" s="1"/>
  <c r="J95" i="3"/>
  <c r="D92" i="10" s="1"/>
  <c r="I49" i="8" l="1"/>
  <c r="F91" i="10" s="1"/>
  <c r="J94" i="3" l="1"/>
  <c r="D91" i="10" s="1"/>
  <c r="H91" i="10" s="1"/>
  <c r="I48" i="8" l="1"/>
  <c r="F90" i="10" s="1"/>
  <c r="J93" i="3"/>
  <c r="D90" i="10" s="1"/>
  <c r="H90" i="10" l="1"/>
  <c r="J92" i="3"/>
  <c r="D89" i="10" s="1"/>
  <c r="I47" i="8"/>
  <c r="F89" i="10" s="1"/>
  <c r="H89" i="10" l="1"/>
  <c r="I46" i="8"/>
  <c r="F88" i="10" s="1"/>
  <c r="J91" i="3"/>
  <c r="D88" i="10" s="1"/>
  <c r="H88" i="10" l="1"/>
  <c r="I45" i="8"/>
  <c r="F87" i="10" s="1"/>
  <c r="J90" i="3"/>
  <c r="D87" i="10" s="1"/>
  <c r="H87" i="10" l="1"/>
  <c r="I44" i="8"/>
  <c r="F86" i="10" s="1"/>
  <c r="J89" i="3"/>
  <c r="D86" i="10" s="1"/>
  <c r="H86" i="10" l="1"/>
  <c r="I43" i="8"/>
  <c r="F85" i="10" s="1"/>
  <c r="J88" i="3"/>
  <c r="D85" i="10" s="1"/>
  <c r="H85" i="10" l="1"/>
  <c r="I42" i="8"/>
  <c r="F84" i="10" s="1"/>
  <c r="J87" i="3"/>
  <c r="D84" i="10" s="1"/>
  <c r="H84" i="10" l="1"/>
  <c r="I41" i="8"/>
  <c r="F83" i="10" s="1"/>
  <c r="J86" i="3"/>
  <c r="D83" i="10" s="1"/>
  <c r="H83" i="10" l="1"/>
  <c r="I40" i="8"/>
  <c r="F82" i="10" s="1"/>
  <c r="J85" i="3"/>
  <c r="D82" i="10" s="1"/>
  <c r="H82" i="10" l="1"/>
  <c r="I39" i="8"/>
  <c r="F81" i="10" s="1"/>
  <c r="J84" i="3"/>
  <c r="D81" i="10" s="1"/>
  <c r="H81" i="10" l="1"/>
  <c r="H103" i="10"/>
  <c r="H102" i="10"/>
  <c r="H101" i="10"/>
  <c r="H100" i="10"/>
  <c r="H99" i="10"/>
  <c r="H98" i="10"/>
  <c r="H97" i="10"/>
  <c r="H96" i="10"/>
  <c r="H95" i="10"/>
  <c r="H94" i="10"/>
  <c r="H93" i="10"/>
  <c r="I38" i="8"/>
  <c r="F80" i="10" s="1"/>
  <c r="J83" i="3"/>
  <c r="D80" i="10" s="1"/>
  <c r="H80" i="10" l="1"/>
  <c r="H92" i="10"/>
  <c r="I37" i="8"/>
  <c r="F79" i="10" s="1"/>
  <c r="J82" i="3"/>
  <c r="D79" i="10" s="1"/>
  <c r="H79" i="10" l="1"/>
  <c r="I36" i="8"/>
  <c r="F78" i="10" s="1"/>
  <c r="J68" i="3"/>
  <c r="D65" i="10" s="1"/>
  <c r="J61" i="3"/>
  <c r="D58" i="10" s="1"/>
  <c r="J62" i="3"/>
  <c r="D59" i="10" s="1"/>
  <c r="J63" i="3"/>
  <c r="D60" i="10" s="1"/>
  <c r="J64" i="3"/>
  <c r="D61" i="10" s="1"/>
  <c r="J65" i="3"/>
  <c r="D62" i="10" s="1"/>
  <c r="J66" i="3"/>
  <c r="D63" i="10" s="1"/>
  <c r="J67" i="3"/>
  <c r="D64" i="10" s="1"/>
  <c r="J71" i="3"/>
  <c r="D68" i="10" s="1"/>
  <c r="J70" i="3"/>
  <c r="D67" i="10" s="1"/>
  <c r="J69" i="3"/>
  <c r="D66" i="10" s="1"/>
  <c r="J81" i="3"/>
  <c r="D78" i="10" s="1"/>
  <c r="H78" i="10" l="1"/>
  <c r="I35" i="8"/>
  <c r="F77" i="10" s="1"/>
  <c r="J80" i="3"/>
  <c r="D77" i="10" s="1"/>
  <c r="H77" i="10" l="1"/>
  <c r="J72" i="3"/>
  <c r="D69" i="10" s="1"/>
  <c r="J73" i="3"/>
  <c r="D70" i="10" s="1"/>
  <c r="J74" i="3"/>
  <c r="D71" i="10" s="1"/>
  <c r="J75" i="3"/>
  <c r="D72" i="10" s="1"/>
  <c r="J76" i="3"/>
  <c r="D73" i="10" s="1"/>
  <c r="J77" i="3"/>
  <c r="D74" i="10" s="1"/>
  <c r="J78" i="3"/>
  <c r="D75" i="10" s="1"/>
  <c r="J79" i="3"/>
  <c r="D76" i="10" s="1"/>
  <c r="I34" i="8"/>
  <c r="F76" i="10" s="1"/>
  <c r="I33" i="8"/>
  <c r="F75" i="10" s="1"/>
  <c r="I32" i="8"/>
  <c r="F74" i="10" s="1"/>
  <c r="I31" i="8"/>
  <c r="F73" i="10" s="1"/>
  <c r="I30" i="8"/>
  <c r="F72" i="10" s="1"/>
  <c r="I29" i="8"/>
  <c r="F71" i="10" s="1"/>
  <c r="I28" i="8"/>
  <c r="I27" i="8"/>
  <c r="F69" i="10" s="1"/>
  <c r="I26" i="8"/>
  <c r="F70" i="10" l="1"/>
  <c r="F68" i="10"/>
  <c r="H76" i="10"/>
  <c r="H74" i="10"/>
  <c r="H75" i="10"/>
  <c r="I39" i="9"/>
  <c r="E73" i="10" s="1"/>
  <c r="H73" i="10" s="1"/>
  <c r="I38" i="9"/>
  <c r="E72" i="10" s="1"/>
  <c r="H72" i="10" s="1"/>
  <c r="I37" i="9"/>
  <c r="E71" i="10" s="1"/>
  <c r="H71" i="10" s="1"/>
  <c r="I36" i="9"/>
  <c r="E70" i="10" s="1"/>
  <c r="I35" i="9"/>
  <c r="E69" i="10" s="1"/>
  <c r="H69" i="10" s="1"/>
  <c r="I34" i="9"/>
  <c r="E68" i="10" s="1"/>
  <c r="I33" i="9"/>
  <c r="E67" i="10" s="1"/>
  <c r="I32" i="9"/>
  <c r="E66" i="10" s="1"/>
  <c r="I31" i="9"/>
  <c r="E65" i="10" s="1"/>
  <c r="I30" i="9"/>
  <c r="E64" i="10" s="1"/>
  <c r="I29" i="9"/>
  <c r="E63" i="10" s="1"/>
  <c r="I28" i="9"/>
  <c r="E62" i="10" s="1"/>
  <c r="I27" i="9"/>
  <c r="E61" i="10" s="1"/>
  <c r="I26" i="9"/>
  <c r="E60" i="10" s="1"/>
  <c r="I25" i="9"/>
  <c r="E59" i="10" s="1"/>
  <c r="I24" i="9"/>
  <c r="E58" i="10" s="1"/>
  <c r="I23" i="9"/>
  <c r="E57" i="10" s="1"/>
  <c r="I22" i="9"/>
  <c r="E56" i="10" s="1"/>
  <c r="I21" i="9"/>
  <c r="E55" i="10" s="1"/>
  <c r="I20" i="9"/>
  <c r="E54" i="10" s="1"/>
  <c r="I19" i="9"/>
  <c r="E53" i="10" s="1"/>
  <c r="I18" i="9"/>
  <c r="E52" i="10" s="1"/>
  <c r="E17" i="9"/>
  <c r="I17" i="9" s="1"/>
  <c r="E51" i="10" s="1"/>
  <c r="E16" i="9"/>
  <c r="I16" i="9" s="1"/>
  <c r="E50" i="10" s="1"/>
  <c r="E15" i="9"/>
  <c r="I15" i="9" s="1"/>
  <c r="E49" i="10" s="1"/>
  <c r="E14" i="9"/>
  <c r="I14" i="9" s="1"/>
  <c r="E48" i="10" s="1"/>
  <c r="E13" i="9"/>
  <c r="I13" i="9" s="1"/>
  <c r="E47" i="10" s="1"/>
  <c r="E12" i="9"/>
  <c r="I12" i="9" s="1"/>
  <c r="E46" i="10" s="1"/>
  <c r="E11" i="9"/>
  <c r="I11" i="9" s="1"/>
  <c r="E45" i="10" s="1"/>
  <c r="E10" i="9"/>
  <c r="I10" i="9" s="1"/>
  <c r="E44" i="10" s="1"/>
  <c r="E9" i="9"/>
  <c r="I9" i="9" s="1"/>
  <c r="E43" i="10" s="1"/>
  <c r="E148" i="10" l="1"/>
  <c r="H68" i="10"/>
  <c r="H70" i="10"/>
  <c r="D52" i="9"/>
  <c r="D49" i="9"/>
  <c r="D46" i="9"/>
  <c r="D47" i="9" s="1"/>
  <c r="D50" i="9" l="1"/>
  <c r="E149" i="10"/>
  <c r="D53" i="9"/>
  <c r="E146" i="10" s="1"/>
  <c r="B5" i="5"/>
  <c r="B6" i="5" s="1"/>
  <c r="B7" i="5" s="1"/>
  <c r="B8" i="5" s="1"/>
  <c r="B9" i="5" s="1"/>
  <c r="B10" i="5" s="1"/>
  <c r="B11" i="5" s="1"/>
  <c r="B12" i="5" s="1"/>
  <c r="B13" i="5" s="1"/>
  <c r="J9" i="3"/>
  <c r="J10" i="3"/>
  <c r="D7" i="10" s="1"/>
  <c r="H7" i="10" s="1"/>
  <c r="J11" i="3"/>
  <c r="D8" i="10" s="1"/>
  <c r="H8" i="10" s="1"/>
  <c r="J12" i="3"/>
  <c r="D9" i="10" s="1"/>
  <c r="H9" i="10" s="1"/>
  <c r="J13" i="3"/>
  <c r="D10" i="10" s="1"/>
  <c r="H10" i="10" s="1"/>
  <c r="J14" i="3"/>
  <c r="D11" i="10" s="1"/>
  <c r="H11" i="10" s="1"/>
  <c r="J15" i="3"/>
  <c r="D12" i="10" s="1"/>
  <c r="H12" i="10" s="1"/>
  <c r="J16" i="3"/>
  <c r="D13" i="10" s="1"/>
  <c r="H13" i="10" s="1"/>
  <c r="J17" i="3"/>
  <c r="D14" i="10" s="1"/>
  <c r="H14" i="10" s="1"/>
  <c r="J18" i="3"/>
  <c r="D15" i="10" s="1"/>
  <c r="H15" i="10" s="1"/>
  <c r="J19" i="3"/>
  <c r="D16" i="10" s="1"/>
  <c r="H16" i="10" s="1"/>
  <c r="J20" i="3"/>
  <c r="D17" i="10" s="1"/>
  <c r="H17" i="10" s="1"/>
  <c r="J21" i="3"/>
  <c r="D18" i="10" s="1"/>
  <c r="H18" i="10" s="1"/>
  <c r="J22" i="3"/>
  <c r="D19" i="10" s="1"/>
  <c r="H19" i="10" s="1"/>
  <c r="J23" i="3"/>
  <c r="D20" i="10" s="1"/>
  <c r="H20" i="10" s="1"/>
  <c r="J24" i="3"/>
  <c r="D21" i="10" s="1"/>
  <c r="H21" i="10" s="1"/>
  <c r="J25" i="3"/>
  <c r="D22" i="10" s="1"/>
  <c r="H22" i="10" s="1"/>
  <c r="J26" i="3"/>
  <c r="D23" i="10" s="1"/>
  <c r="H23" i="10" s="1"/>
  <c r="J27" i="3"/>
  <c r="D24" i="10" s="1"/>
  <c r="H24" i="10" s="1"/>
  <c r="J28" i="3"/>
  <c r="D25" i="10" s="1"/>
  <c r="H25" i="10" s="1"/>
  <c r="J29" i="3"/>
  <c r="D26" i="10" s="1"/>
  <c r="H26" i="10" s="1"/>
  <c r="J30" i="3"/>
  <c r="D27" i="10" s="1"/>
  <c r="H27" i="10" s="1"/>
  <c r="J31" i="3"/>
  <c r="D28" i="10" s="1"/>
  <c r="H28" i="10" s="1"/>
  <c r="J32" i="3"/>
  <c r="D29" i="10" s="1"/>
  <c r="H29" i="10" s="1"/>
  <c r="J33" i="3"/>
  <c r="D30" i="10" s="1"/>
  <c r="H30" i="10" s="1"/>
  <c r="J34" i="3"/>
  <c r="D31" i="10" s="1"/>
  <c r="H31" i="10" s="1"/>
  <c r="J35" i="3"/>
  <c r="D32" i="10" s="1"/>
  <c r="H32" i="10" s="1"/>
  <c r="J36" i="3"/>
  <c r="D33" i="10" s="1"/>
  <c r="H33" i="10" s="1"/>
  <c r="J37" i="3"/>
  <c r="D34" i="10" s="1"/>
  <c r="H34" i="10" s="1"/>
  <c r="J38" i="3"/>
  <c r="D35" i="10" s="1"/>
  <c r="H35" i="10" s="1"/>
  <c r="J39" i="3"/>
  <c r="D36" i="10" s="1"/>
  <c r="H36" i="10" s="1"/>
  <c r="J40" i="3"/>
  <c r="D37" i="10" s="1"/>
  <c r="H37" i="10" s="1"/>
  <c r="J41" i="3"/>
  <c r="D38" i="10" s="1"/>
  <c r="H38" i="10" s="1"/>
  <c r="J42" i="3"/>
  <c r="D39" i="10" s="1"/>
  <c r="H39" i="10" s="1"/>
  <c r="J43" i="3"/>
  <c r="D40" i="10" s="1"/>
  <c r="H40" i="10" s="1"/>
  <c r="J44" i="3"/>
  <c r="D41" i="10" s="1"/>
  <c r="H41" i="10" s="1"/>
  <c r="J45" i="3"/>
  <c r="D42" i="10" s="1"/>
  <c r="H42" i="10" s="1"/>
  <c r="J46" i="3"/>
  <c r="D43" i="10" s="1"/>
  <c r="H43" i="10" s="1"/>
  <c r="J47" i="3"/>
  <c r="D44" i="10" s="1"/>
  <c r="H44" i="10" s="1"/>
  <c r="J48" i="3"/>
  <c r="D45" i="10" s="1"/>
  <c r="H45" i="10" s="1"/>
  <c r="J49" i="3"/>
  <c r="D46" i="10" s="1"/>
  <c r="H46" i="10" s="1"/>
  <c r="J50" i="3"/>
  <c r="D47" i="10" s="1"/>
  <c r="H47" i="10" s="1"/>
  <c r="D6" i="10" l="1"/>
  <c r="E151" i="3"/>
  <c r="E148" i="3"/>
  <c r="E145" i="3"/>
  <c r="E146" i="3" s="1"/>
  <c r="E147" i="3" s="1"/>
  <c r="I25" i="8"/>
  <c r="I24" i="8"/>
  <c r="I23" i="8"/>
  <c r="I22" i="8"/>
  <c r="I21" i="8"/>
  <c r="I20" i="8"/>
  <c r="I19" i="8"/>
  <c r="I18" i="8"/>
  <c r="I17" i="8"/>
  <c r="I16" i="8"/>
  <c r="I15" i="8"/>
  <c r="F57" i="10" s="1"/>
  <c r="I14" i="8"/>
  <c r="I13" i="8"/>
  <c r="F55" i="10" s="1"/>
  <c r="I12" i="8"/>
  <c r="F54" i="10" s="1"/>
  <c r="I11" i="8"/>
  <c r="F53" i="10" s="1"/>
  <c r="I10" i="8"/>
  <c r="F52" i="10" s="1"/>
  <c r="I9" i="8"/>
  <c r="J60" i="3"/>
  <c r="D57" i="10" s="1"/>
  <c r="J59" i="3"/>
  <c r="D56" i="10" s="1"/>
  <c r="J58" i="3"/>
  <c r="D55" i="10" s="1"/>
  <c r="J57" i="3"/>
  <c r="D54" i="10" s="1"/>
  <c r="J56" i="3"/>
  <c r="D53" i="10" s="1"/>
  <c r="J55" i="3"/>
  <c r="D52" i="10" s="1"/>
  <c r="J54" i="3"/>
  <c r="D51" i="10" s="1"/>
  <c r="J53" i="3"/>
  <c r="D50" i="10" s="1"/>
  <c r="H50" i="10" s="1"/>
  <c r="J52" i="3"/>
  <c r="D49" i="10" s="1"/>
  <c r="H49" i="10" s="1"/>
  <c r="J51" i="3"/>
  <c r="D48" i="10" s="1"/>
  <c r="H48" i="10" s="1"/>
  <c r="D148" i="10" l="1"/>
  <c r="E127" i="8"/>
  <c r="E130" i="8"/>
  <c r="E175" i="3"/>
  <c r="E124" i="8"/>
  <c r="E121" i="8"/>
  <c r="F65" i="10"/>
  <c r="H65" i="10" s="1"/>
  <c r="F67" i="10"/>
  <c r="H67" i="10" s="1"/>
  <c r="F61" i="10"/>
  <c r="H61" i="10" s="1"/>
  <c r="F64" i="10"/>
  <c r="H64" i="10" s="1"/>
  <c r="F66" i="10"/>
  <c r="H66" i="10" s="1"/>
  <c r="F59" i="10"/>
  <c r="H59" i="10" s="1"/>
  <c r="F62" i="10"/>
  <c r="H62" i="10" s="1"/>
  <c r="F56" i="10"/>
  <c r="H56" i="10" s="1"/>
  <c r="F58" i="10"/>
  <c r="H58" i="10" s="1"/>
  <c r="F51" i="10"/>
  <c r="F60" i="10"/>
  <c r="H60" i="10" s="1"/>
  <c r="F63" i="10"/>
  <c r="H63" i="10" s="1"/>
  <c r="H53" i="10"/>
  <c r="H57" i="10"/>
  <c r="H52" i="10"/>
  <c r="H55" i="10"/>
  <c r="H54" i="10"/>
  <c r="H6" i="10"/>
  <c r="E172" i="3"/>
  <c r="E166" i="3"/>
  <c r="E118" i="8"/>
  <c r="E169" i="3"/>
  <c r="E154" i="3"/>
  <c r="E163" i="3"/>
  <c r="E115" i="8"/>
  <c r="E157" i="3"/>
  <c r="E112" i="8"/>
  <c r="E109" i="8"/>
  <c r="E110" i="8" s="1"/>
  <c r="E111" i="8" s="1"/>
  <c r="E149" i="3"/>
  <c r="E150" i="3" s="1"/>
  <c r="E152" i="3" s="1"/>
  <c r="E153" i="3" s="1"/>
  <c r="E160" i="3"/>
  <c r="F148" i="10" l="1"/>
  <c r="H51" i="10"/>
  <c r="E155" i="3"/>
  <c r="E156" i="3" s="1"/>
  <c r="E158" i="3" s="1"/>
  <c r="E159" i="3" s="1"/>
  <c r="E113" i="8"/>
  <c r="E114" i="8" s="1"/>
  <c r="E116" i="8" l="1"/>
  <c r="E117" i="8" s="1"/>
  <c r="E161" i="3"/>
  <c r="E119" i="8" l="1"/>
  <c r="E120" i="8" s="1"/>
  <c r="E162" i="3"/>
  <c r="E122" i="8" l="1"/>
  <c r="E123" i="8" s="1"/>
  <c r="E125" i="8" s="1"/>
  <c r="E126" i="8" s="1"/>
  <c r="E134" i="8" s="1"/>
  <c r="E164" i="3"/>
  <c r="E165" i="3" s="1"/>
  <c r="E167" i="3" s="1"/>
  <c r="E168" i="3" s="1"/>
  <c r="E128" i="8" l="1"/>
  <c r="F149" i="10"/>
  <c r="E170" i="3"/>
  <c r="E171" i="3" s="1"/>
  <c r="E129" i="8" l="1"/>
  <c r="E131" i="8" s="1"/>
  <c r="F146" i="10" s="1"/>
  <c r="E173" i="3"/>
  <c r="E174" i="3" s="1"/>
  <c r="E179" i="3" l="1"/>
  <c r="E176" i="3"/>
  <c r="D146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Regina Sasai</author>
  </authors>
  <commentList>
    <comment ref="H91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>Valor publicado pela ANP em dez/20.
Diferença paga como reprocessamento.</t>
        </r>
      </text>
    </comment>
    <comment ref="H92" authorId="0" shapeId="0" xr:uid="{00000000-0006-0000-0100-000002000000}">
      <text>
        <r>
          <rPr>
            <b/>
            <sz val="9"/>
            <color indexed="81"/>
            <rFont val="Segoe UI"/>
            <family val="2"/>
          </rPr>
          <t>Valor publicado pela ANP em dez/20.
Diferença paga como reprocessamento.</t>
        </r>
      </text>
    </comment>
    <comment ref="H94" authorId="0" shapeId="0" xr:uid="{00000000-0006-0000-0100-000003000000}">
      <text>
        <r>
          <rPr>
            <b/>
            <sz val="9"/>
            <color indexed="81"/>
            <rFont val="Segoe UI"/>
            <family val="2"/>
          </rPr>
          <t>Valor publicado pela ANP em fev/21.
Diferença paga como reprocessamento.</t>
        </r>
      </text>
    </comment>
    <comment ref="H95" authorId="0" shapeId="0" xr:uid="{00000000-0006-0000-0100-000004000000}">
      <text>
        <r>
          <rPr>
            <b/>
            <sz val="9"/>
            <color indexed="81"/>
            <rFont val="Segoe UI"/>
            <family val="2"/>
          </rPr>
          <t>Valor publicado pela ANP em mar/21.
Diferença paga como reprocessamento.</t>
        </r>
      </text>
    </comment>
    <comment ref="H97" authorId="0" shapeId="0" xr:uid="{33451395-0947-4DF0-B471-A45FCBA16F83}">
      <text>
        <r>
          <rPr>
            <b/>
            <sz val="9"/>
            <color indexed="81"/>
            <rFont val="Segoe UI"/>
            <family val="2"/>
          </rPr>
          <t>Valor publicado pela ANP em mai/21.
Diferença paga como reprocessamento.</t>
        </r>
      </text>
    </comment>
    <comment ref="H98" authorId="0" shapeId="0" xr:uid="{16F053E7-8F6E-420A-8AF8-26EEAB6AFB80}">
      <text>
        <r>
          <rPr>
            <b/>
            <sz val="9"/>
            <color indexed="81"/>
            <rFont val="Segoe UI"/>
            <family val="2"/>
          </rPr>
          <t>Valor publicado pela ANP em jun/21.
Diferença paga como reprocessamento.</t>
        </r>
      </text>
    </comment>
    <comment ref="H103" authorId="0" shapeId="0" xr:uid="{6D3F6DE8-6DAE-4B4B-A951-148798C54567}">
      <text>
        <r>
          <rPr>
            <b/>
            <sz val="9"/>
            <color indexed="81"/>
            <rFont val="Segoe UI"/>
            <family val="2"/>
          </rPr>
          <t>Valor estimado: 4,57548 R$/l
Valor ANP: 4,570652 R$/l
Reprocessado em 22/11/2021</t>
        </r>
      </text>
    </comment>
  </commentList>
</comments>
</file>

<file path=xl/sharedStrings.xml><?xml version="1.0" encoding="utf-8"?>
<sst xmlns="http://schemas.openxmlformats.org/spreadsheetml/2006/main" count="482" uniqueCount="80">
  <si>
    <t>Vi = Emi * k * (1000 * CE * Pci - TEH)</t>
  </si>
  <si>
    <t>Vi = E medida * k * (CT Termelétrica - CG Empreendimento)</t>
  </si>
  <si>
    <t>TEH (MWh)</t>
  </si>
  <si>
    <t>CE (l/kWh)</t>
  </si>
  <si>
    <t>MONTANTE DO BENEFÍCIO</t>
  </si>
  <si>
    <t>MONTANTE APURADO - 1º ANO</t>
  </si>
  <si>
    <t>DIFERENÇA</t>
  </si>
  <si>
    <t>MONTANTE ATUALIZADO</t>
  </si>
  <si>
    <t>MONTANTE APURADO - 2º ANO</t>
  </si>
  <si>
    <t>MONTANTE APURADO - 3º ANO</t>
  </si>
  <si>
    <t>JAN</t>
  </si>
  <si>
    <t>FEV</t>
  </si>
  <si>
    <t>MAR</t>
  </si>
  <si>
    <t>ABR</t>
  </si>
  <si>
    <t>JUN</t>
  </si>
  <si>
    <t>JUL</t>
  </si>
  <si>
    <t>AGO</t>
  </si>
  <si>
    <t>SET</t>
  </si>
  <si>
    <t>OUT</t>
  </si>
  <si>
    <t>NOV</t>
  </si>
  <si>
    <t>DEZ</t>
  </si>
  <si>
    <t>IPCA - IBGE</t>
  </si>
  <si>
    <t>HISTÓRICO - REEMBOLSO COMODORO</t>
  </si>
  <si>
    <t>IGP-M FGV</t>
  </si>
  <si>
    <t>HISTÓRICO - REEMBOLSO PARANORTE</t>
  </si>
  <si>
    <t>MONTANTE APURADO - 4º ANO</t>
  </si>
  <si>
    <t>MONTANTE APURADO - 5º ANO</t>
  </si>
  <si>
    <t>MONTANTE APURADO - 6º ANO</t>
  </si>
  <si>
    <t>HISTÓRICO - REEMBOLSO RONDOLÂNDIA</t>
  </si>
  <si>
    <t>* O valor calculado na competência de jul/19 foi de R$ 182.276,99. Entretanto, o valor foi glosado para não ultrapassar o montante total a ser sub-rogado.</t>
  </si>
  <si>
    <t>Comodoro</t>
  </si>
  <si>
    <t>Rondolândia</t>
  </si>
  <si>
    <t>Paranorte</t>
  </si>
  <si>
    <t>Total</t>
  </si>
  <si>
    <t>Competência</t>
  </si>
  <si>
    <t>Energisa MT</t>
  </si>
  <si>
    <t>MAI</t>
  </si>
  <si>
    <t>ANO</t>
  </si>
  <si>
    <t>MONTANTE APURADO - 7º ANO</t>
  </si>
  <si>
    <t>MONTANTE APURADO - 8º ANO</t>
  </si>
  <si>
    <t>Reembolso de Sub-rogação em Operação Comercial</t>
  </si>
  <si>
    <t>Saldo Remanescente</t>
  </si>
  <si>
    <t>Atualização Monetária</t>
  </si>
  <si>
    <t>Valor Aprovado REA</t>
  </si>
  <si>
    <t>Valor Total Reembolsado</t>
  </si>
  <si>
    <t>HISTÓRICO - REEMBOLSO GUARIBA</t>
  </si>
  <si>
    <t>Guariba</t>
  </si>
  <si>
    <t>Vi = E medida * k * (CT Term. - CG Empr. - CT Amort.)</t>
  </si>
  <si>
    <t>MONTANTE APURADO - 9º ANO</t>
  </si>
  <si>
    <t>MONTANTE APURADO - 10º ANO</t>
  </si>
  <si>
    <r>
      <t xml:space="preserve">Pagamento </t>
    </r>
    <r>
      <rPr>
        <b/>
        <vertAlign val="superscript"/>
        <sz val="10"/>
        <color theme="0"/>
        <rFont val="Inter Light"/>
        <family val="3"/>
      </rPr>
      <t>1</t>
    </r>
  </si>
  <si>
    <r>
      <rPr>
        <vertAlign val="superscript"/>
        <sz val="10"/>
        <color rgb="FF002060"/>
        <rFont val="Inter Light"/>
        <family val="3"/>
      </rPr>
      <t>1</t>
    </r>
    <r>
      <rPr>
        <sz val="10"/>
        <color rgb="FF002060"/>
        <rFont val="Inter Light"/>
        <family val="3"/>
      </rPr>
      <t xml:space="preserve"> Pagamento previsto para o último dia útil do mês, estando condicionado à apresentação de certidões de adimplemento vigentes na data do pagamento.</t>
    </r>
  </si>
  <si>
    <t>Vencimento</t>
  </si>
  <si>
    <t>Fórmula de Cálculo</t>
  </si>
  <si>
    <t>Geração (MWh)</t>
  </si>
  <si>
    <t>Fator k</t>
  </si>
  <si>
    <t>CG Empreendimento (R$/MWh)</t>
  </si>
  <si>
    <t>CE Termelétrica (R$/MWh)</t>
  </si>
  <si>
    <t>CT Amortizado (R$/MWh)</t>
  </si>
  <si>
    <t>Valor Parcela *</t>
  </si>
  <si>
    <t>Obra</t>
  </si>
  <si>
    <t>Documento Aneel</t>
  </si>
  <si>
    <t>Interligação da região de Comodoro ao Sistema Interligado Nacional – SIN</t>
  </si>
  <si>
    <t xml:space="preserve">Interligação do distrito Paranorte, no município de Juara - MT, ao Sistema Interligado Nacional – SIN </t>
  </si>
  <si>
    <t>Preço Combustível (R$/l)</t>
  </si>
  <si>
    <t>Interligação de Guariba ao Sistema Interligado Nacional – SIN</t>
  </si>
  <si>
    <t>Resolução Autorizativa nº 7.854, de 4 de junho de 2019.</t>
  </si>
  <si>
    <t>Interligação do Município de Rondolândia ao Sistema Interligado Nacional – SIN</t>
  </si>
  <si>
    <t>Resolução Autorizativa nº 5.894, de 21 de junho de 2016</t>
  </si>
  <si>
    <t>Resolução Autorizativa nº 6.174 de 31 de janeiro de 2017</t>
  </si>
  <si>
    <t>Resolução Autorizativa nº 1.877 de 07 de julho de 2009</t>
  </si>
  <si>
    <t>* Solicitação não foi enviada para data de competência</t>
  </si>
  <si>
    <t>Total - Atualização Monetária</t>
  </si>
  <si>
    <t>Valor Anterior</t>
  </si>
  <si>
    <t>Saldo do Reprocessamento</t>
  </si>
  <si>
    <t>Bi = Emedida * k * (CTsubstituída - CGempreend. - CTamort.subst.)</t>
  </si>
  <si>
    <t>Vi = E medida * k * (CT Term - CG Emp)</t>
  </si>
  <si>
    <t>MONTANTE APURADO - 11º ANO</t>
  </si>
  <si>
    <t xml:space="preserve"> - </t>
  </si>
  <si>
    <t xml:space="preserve"> -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</si>
</sst>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d/m/yy\ h:mm;@"/>
    <numFmt numFmtId="166" formatCode="0.000"/>
    <numFmt numFmtId="167" formatCode="_-&quot;R$&quot;\ * #,##0.000_-;\-&quot;R$&quot;\ * #,##0.000_-;_-&quot;R$&quot;\ * &quot;-&quot;??_-;_-@_-"/>
    <numFmt numFmtId="168" formatCode="0.0"/>
    <numFmt numFmtId="169" formatCode="#,##0.000"/>
    <numFmt numFmtId="170" formatCode="_(* #,##0.00_);_(* \(#,##0.00\);_(* &quot;-&quot;??_);_(@_)"/>
  </numFmts>
  <fonts count="65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9"/>
      <color indexed="81"/>
      <name val="Segoe U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Inter Light"/>
      <family val="3"/>
    </font>
    <font>
      <b/>
      <i/>
      <sz val="18"/>
      <color rgb="FF002060"/>
      <name val="Inter Light"/>
      <family val="3"/>
    </font>
    <font>
      <b/>
      <sz val="11"/>
      <color theme="0"/>
      <name val="Inter Light"/>
      <family val="3"/>
    </font>
    <font>
      <sz val="11"/>
      <color rgb="FF002060"/>
      <name val="Inter Light"/>
      <family val="3"/>
    </font>
    <font>
      <b/>
      <sz val="11"/>
      <color rgb="FF002060"/>
      <name val="Inter Light"/>
      <family val="3"/>
    </font>
    <font>
      <sz val="11"/>
      <color theme="0"/>
      <name val="Inter Light"/>
      <family val="3"/>
    </font>
    <font>
      <sz val="18"/>
      <color rgb="FF002060"/>
      <name val="Inter Bold"/>
    </font>
    <font>
      <b/>
      <i/>
      <sz val="12"/>
      <color rgb="FF002060"/>
      <name val="Inter Light"/>
      <family val="3"/>
    </font>
    <font>
      <b/>
      <sz val="10"/>
      <color theme="0"/>
      <name val="Inter Light"/>
      <family val="3"/>
    </font>
    <font>
      <sz val="11"/>
      <color rgb="FFFFFFFF"/>
      <name val="Inter Light"/>
      <family val="3"/>
    </font>
    <font>
      <sz val="11"/>
      <color theme="0" tint="-0.249977111117893"/>
      <name val="Inter Light"/>
      <family val="3"/>
    </font>
    <font>
      <b/>
      <vertAlign val="superscript"/>
      <sz val="10"/>
      <color theme="0"/>
      <name val="Inter Light"/>
      <family val="3"/>
    </font>
    <font>
      <sz val="10"/>
      <color theme="1"/>
      <name val="Inter Light"/>
      <family val="3"/>
    </font>
    <font>
      <sz val="10"/>
      <color rgb="FF002060"/>
      <name val="Inter Light"/>
      <family val="3"/>
    </font>
    <font>
      <b/>
      <sz val="10"/>
      <color rgb="FF002060"/>
      <name val="Inter Light"/>
      <family val="3"/>
    </font>
    <font>
      <sz val="10"/>
      <color theme="0"/>
      <name val="Inter Light"/>
      <family val="3"/>
    </font>
    <font>
      <vertAlign val="superscript"/>
      <sz val="10"/>
      <color rgb="FF002060"/>
      <name val="Inter Light"/>
      <family val="3"/>
    </font>
    <font>
      <b/>
      <sz val="22"/>
      <color rgb="FF002060"/>
      <name val="Inter Light"/>
      <family val="3"/>
    </font>
    <font>
      <b/>
      <sz val="10"/>
      <name val="Inter Light"/>
      <family val="3"/>
    </font>
    <font>
      <b/>
      <i/>
      <sz val="12"/>
      <color theme="1"/>
      <name val="Inter Light"/>
      <family val="3"/>
    </font>
    <font>
      <sz val="8"/>
      <color theme="1"/>
      <name val="Inter Light"/>
      <family val="3"/>
    </font>
    <font>
      <b/>
      <sz val="11"/>
      <color theme="1"/>
      <name val="Inter Light"/>
      <family val="3"/>
    </font>
    <font>
      <sz val="12"/>
      <color rgb="FF002060"/>
      <name val="Inter Light"/>
      <family val="3"/>
    </font>
    <font>
      <b/>
      <sz val="11"/>
      <color theme="1"/>
      <name val="Inter"/>
      <family val="3"/>
    </font>
    <font>
      <b/>
      <sz val="18"/>
      <color theme="1"/>
      <name val="Inter"/>
      <family val="3"/>
    </font>
    <font>
      <sz val="11"/>
      <name val="Inter Light"/>
      <family val="3"/>
    </font>
    <font>
      <sz val="11"/>
      <color theme="4"/>
      <name val="Inter Light"/>
      <family val="3"/>
    </font>
    <font>
      <sz val="11"/>
      <color indexed="8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</fonts>
  <fills count="5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rgb="FFEAF5F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31">
    <xf numFmtId="0" fontId="0" fillId="0" borderId="0"/>
    <xf numFmtId="44" fontId="3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6" borderId="4" applyNumberFormat="0" applyAlignment="0" applyProtection="0"/>
    <xf numFmtId="0" fontId="15" fillId="7" borderId="5" applyNumberFormat="0" applyAlignment="0" applyProtection="0"/>
    <xf numFmtId="0" fontId="16" fillId="7" borderId="4" applyNumberFormat="0" applyAlignment="0" applyProtection="0"/>
    <xf numFmtId="0" fontId="17" fillId="0" borderId="6" applyNumberFormat="0" applyFill="0" applyAlignment="0" applyProtection="0"/>
    <xf numFmtId="0" fontId="1" fillId="8" borderId="7" applyNumberFormat="0" applyAlignment="0" applyProtection="0"/>
    <xf numFmtId="0" fontId="18" fillId="0" borderId="0" applyNumberFormat="0" applyFill="0" applyBorder="0" applyAlignment="0" applyProtection="0"/>
    <xf numFmtId="0" fontId="3" fillId="9" borderId="8" applyNumberFormat="0" applyFont="0" applyAlignment="0" applyProtection="0"/>
    <xf numFmtId="0" fontId="19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2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0" fillId="5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5" fillId="0" borderId="0"/>
    <xf numFmtId="9" fontId="3" fillId="0" borderId="0" applyFont="0" applyFill="0" applyBorder="0" applyAlignment="0" applyProtection="0"/>
    <xf numFmtId="170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48" fillId="37" borderId="0" applyNumberFormat="0" applyBorder="0" applyAlignment="0" applyProtection="0"/>
    <xf numFmtId="0" fontId="48" fillId="38" borderId="0" applyNumberFormat="0" applyBorder="0" applyAlignment="0" applyProtection="0"/>
    <xf numFmtId="0" fontId="48" fillId="39" borderId="0" applyNumberFormat="0" applyBorder="0" applyAlignment="0" applyProtection="0"/>
    <xf numFmtId="0" fontId="48" fillId="40" borderId="0" applyNumberFormat="0" applyBorder="0" applyAlignment="0" applyProtection="0"/>
    <xf numFmtId="0" fontId="48" fillId="41" borderId="0" applyNumberFormat="0" applyBorder="0" applyAlignment="0" applyProtection="0"/>
    <xf numFmtId="0" fontId="48" fillId="42" borderId="0" applyNumberFormat="0" applyBorder="0" applyAlignment="0" applyProtection="0"/>
    <xf numFmtId="0" fontId="48" fillId="37" borderId="0" applyNumberFormat="0" applyBorder="0" applyAlignment="0" applyProtection="0"/>
    <xf numFmtId="0" fontId="48" fillId="38" borderId="0" applyNumberFormat="0" applyBorder="0" applyAlignment="0" applyProtection="0"/>
    <xf numFmtId="0" fontId="48" fillId="39" borderId="0" applyNumberFormat="0" applyBorder="0" applyAlignment="0" applyProtection="0"/>
    <xf numFmtId="0" fontId="48" fillId="40" borderId="0" applyNumberFormat="0" applyBorder="0" applyAlignment="0" applyProtection="0"/>
    <xf numFmtId="0" fontId="48" fillId="41" borderId="0" applyNumberFormat="0" applyBorder="0" applyAlignment="0" applyProtection="0"/>
    <xf numFmtId="0" fontId="48" fillId="43" borderId="0" applyNumberFormat="0" applyBorder="0" applyAlignment="0" applyProtection="0"/>
    <xf numFmtId="0" fontId="48" fillId="44" borderId="0" applyNumberFormat="0" applyBorder="0" applyAlignment="0" applyProtection="0"/>
    <xf numFmtId="0" fontId="48" fillId="45" borderId="0" applyNumberFormat="0" applyBorder="0" applyAlignment="0" applyProtection="0"/>
    <xf numFmtId="0" fontId="48" fillId="46" borderId="0" applyNumberFormat="0" applyBorder="0" applyAlignment="0" applyProtection="0"/>
    <xf numFmtId="0" fontId="48" fillId="40" borderId="0" applyNumberFormat="0" applyBorder="0" applyAlignment="0" applyProtection="0"/>
    <xf numFmtId="0" fontId="48" fillId="44" borderId="0" applyNumberFormat="0" applyBorder="0" applyAlignment="0" applyProtection="0"/>
    <xf numFmtId="0" fontId="48" fillId="47" borderId="0" applyNumberFormat="0" applyBorder="0" applyAlignment="0" applyProtection="0"/>
    <xf numFmtId="0" fontId="48" fillId="44" borderId="0" applyNumberFormat="0" applyBorder="0" applyAlignment="0" applyProtection="0"/>
    <xf numFmtId="0" fontId="48" fillId="45" borderId="0" applyNumberFormat="0" applyBorder="0" applyAlignment="0" applyProtection="0"/>
    <xf numFmtId="0" fontId="48" fillId="46" borderId="0" applyNumberFormat="0" applyBorder="0" applyAlignment="0" applyProtection="0"/>
    <xf numFmtId="0" fontId="48" fillId="40" borderId="0" applyNumberFormat="0" applyBorder="0" applyAlignment="0" applyProtection="0"/>
    <xf numFmtId="0" fontId="48" fillId="44" borderId="0" applyNumberFormat="0" applyBorder="0" applyAlignment="0" applyProtection="0"/>
    <xf numFmtId="0" fontId="48" fillId="47" borderId="0" applyNumberFormat="0" applyBorder="0" applyAlignment="0" applyProtection="0"/>
    <xf numFmtId="0" fontId="54" fillId="48" borderId="0" applyNumberFormat="0" applyBorder="0" applyAlignment="0" applyProtection="0"/>
    <xf numFmtId="0" fontId="54" fillId="45" borderId="0" applyNumberFormat="0" applyBorder="0" applyAlignment="0" applyProtection="0"/>
    <xf numFmtId="0" fontId="54" fillId="46" borderId="0" applyNumberFormat="0" applyBorder="0" applyAlignment="0" applyProtection="0"/>
    <xf numFmtId="0" fontId="54" fillId="49" borderId="0" applyNumberFormat="0" applyBorder="0" applyAlignment="0" applyProtection="0"/>
    <xf numFmtId="0" fontId="54" fillId="50" borderId="0" applyNumberFormat="0" applyBorder="0" applyAlignment="0" applyProtection="0"/>
    <xf numFmtId="0" fontId="54" fillId="51" borderId="0" applyNumberFormat="0" applyBorder="0" applyAlignment="0" applyProtection="0"/>
    <xf numFmtId="0" fontId="54" fillId="48" borderId="0" applyNumberFormat="0" applyBorder="0" applyAlignment="0" applyProtection="0"/>
    <xf numFmtId="0" fontId="54" fillId="45" borderId="0" applyNumberFormat="0" applyBorder="0" applyAlignment="0" applyProtection="0"/>
    <xf numFmtId="0" fontId="54" fillId="46" borderId="0" applyNumberFormat="0" applyBorder="0" applyAlignment="0" applyProtection="0"/>
    <xf numFmtId="0" fontId="54" fillId="49" borderId="0" applyNumberFormat="0" applyBorder="0" applyAlignment="0" applyProtection="0"/>
    <xf numFmtId="0" fontId="54" fillId="50" borderId="0" applyNumberFormat="0" applyBorder="0" applyAlignment="0" applyProtection="0"/>
    <xf numFmtId="0" fontId="54" fillId="51" borderId="0" applyNumberFormat="0" applyBorder="0" applyAlignment="0" applyProtection="0"/>
    <xf numFmtId="0" fontId="54" fillId="52" borderId="0" applyNumberFormat="0" applyBorder="0" applyAlignment="0" applyProtection="0"/>
    <xf numFmtId="0" fontId="54" fillId="53" borderId="0" applyNumberFormat="0" applyBorder="0" applyAlignment="0" applyProtection="0"/>
    <xf numFmtId="0" fontId="54" fillId="54" borderId="0" applyNumberFormat="0" applyBorder="0" applyAlignment="0" applyProtection="0"/>
    <xf numFmtId="0" fontId="54" fillId="49" borderId="0" applyNumberFormat="0" applyBorder="0" applyAlignment="0" applyProtection="0"/>
    <xf numFmtId="0" fontId="54" fillId="50" borderId="0" applyNumberFormat="0" applyBorder="0" applyAlignment="0" applyProtection="0"/>
    <xf numFmtId="0" fontId="54" fillId="55" borderId="0" applyNumberFormat="0" applyBorder="0" applyAlignment="0" applyProtection="0"/>
    <xf numFmtId="0" fontId="59" fillId="38" borderId="0" applyNumberFormat="0" applyBorder="0" applyAlignment="0" applyProtection="0"/>
    <xf numFmtId="0" fontId="55" fillId="39" borderId="0" applyNumberFormat="0" applyBorder="0" applyAlignment="0" applyProtection="0"/>
    <xf numFmtId="0" fontId="56" fillId="43" borderId="14" applyNumberFormat="0" applyAlignment="0" applyProtection="0"/>
    <xf numFmtId="0" fontId="56" fillId="43" borderId="14" applyNumberFormat="0" applyAlignment="0" applyProtection="0"/>
    <xf numFmtId="0" fontId="57" fillId="56" borderId="15" applyNumberFormat="0" applyAlignment="0" applyProtection="0"/>
    <xf numFmtId="0" fontId="49" fillId="0" borderId="16" applyNumberFormat="0" applyFill="0" applyAlignment="0" applyProtection="0"/>
    <xf numFmtId="0" fontId="57" fillId="56" borderId="15" applyNumberFormat="0" applyAlignment="0" applyProtection="0"/>
    <xf numFmtId="0" fontId="54" fillId="52" borderId="0" applyNumberFormat="0" applyBorder="0" applyAlignment="0" applyProtection="0"/>
    <xf numFmtId="0" fontId="54" fillId="53" borderId="0" applyNumberFormat="0" applyBorder="0" applyAlignment="0" applyProtection="0"/>
    <xf numFmtId="0" fontId="54" fillId="54" borderId="0" applyNumberFormat="0" applyBorder="0" applyAlignment="0" applyProtection="0"/>
    <xf numFmtId="0" fontId="54" fillId="49" borderId="0" applyNumberFormat="0" applyBorder="0" applyAlignment="0" applyProtection="0"/>
    <xf numFmtId="0" fontId="54" fillId="50" borderId="0" applyNumberFormat="0" applyBorder="0" applyAlignment="0" applyProtection="0"/>
    <xf numFmtId="0" fontId="54" fillId="55" borderId="0" applyNumberFormat="0" applyBorder="0" applyAlignment="0" applyProtection="0"/>
    <xf numFmtId="0" fontId="58" fillId="43" borderId="14" applyNumberFormat="0" applyAlignment="0" applyProtection="0"/>
    <xf numFmtId="0" fontId="63" fillId="0" borderId="0" applyNumberFormat="0" applyFill="0" applyBorder="0" applyAlignment="0" applyProtection="0"/>
    <xf numFmtId="0" fontId="55" fillId="39" borderId="0" applyNumberFormat="0" applyBorder="0" applyAlignment="0" applyProtection="0"/>
    <xf numFmtId="0" fontId="51" fillId="0" borderId="17" applyNumberFormat="0" applyFill="0" applyAlignment="0" applyProtection="0"/>
    <xf numFmtId="0" fontId="52" fillId="0" borderId="18" applyNumberFormat="0" applyFill="0" applyAlignment="0" applyProtection="0"/>
    <xf numFmtId="0" fontId="53" fillId="0" borderId="19" applyNumberFormat="0" applyFill="0" applyAlignment="0" applyProtection="0"/>
    <xf numFmtId="0" fontId="53" fillId="0" borderId="0" applyNumberFormat="0" applyFill="0" applyBorder="0" applyAlignment="0" applyProtection="0"/>
    <xf numFmtId="0" fontId="58" fillId="42" borderId="14" applyNumberFormat="0" applyAlignment="0" applyProtection="0"/>
    <xf numFmtId="0" fontId="49" fillId="0" borderId="16" applyNumberFormat="0" applyFill="0" applyAlignment="0" applyProtection="0"/>
    <xf numFmtId="0" fontId="60" fillId="57" borderId="0" applyNumberFormat="0" applyBorder="0" applyAlignment="0" applyProtection="0"/>
    <xf numFmtId="0" fontId="5" fillId="58" borderId="20" applyNumberFormat="0" applyFont="0" applyAlignment="0" applyProtection="0"/>
    <xf numFmtId="0" fontId="48" fillId="58" borderId="20" applyNumberFormat="0" applyFont="0" applyAlignment="0" applyProtection="0"/>
    <xf numFmtId="0" fontId="61" fillId="43" borderId="21" applyNumberFormat="0" applyAlignment="0" applyProtection="0"/>
    <xf numFmtId="0" fontId="61" fillId="43" borderId="21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17" applyNumberFormat="0" applyFill="0" applyAlignment="0" applyProtection="0"/>
    <xf numFmtId="0" fontId="52" fillId="0" borderId="18" applyNumberFormat="0" applyFill="0" applyAlignment="0" applyProtection="0"/>
    <xf numFmtId="0" fontId="53" fillId="0" borderId="19" applyNumberFormat="0" applyFill="0" applyAlignment="0" applyProtection="0"/>
    <xf numFmtId="0" fontId="53" fillId="0" borderId="0" applyNumberFormat="0" applyFill="0" applyBorder="0" applyAlignment="0" applyProtection="0"/>
    <xf numFmtId="0" fontId="64" fillId="0" borderId="22" applyNumberFormat="0" applyFill="0" applyAlignment="0" applyProtection="0"/>
    <xf numFmtId="0" fontId="62" fillId="0" borderId="0" applyNumberFormat="0" applyFill="0" applyBorder="0" applyAlignment="0" applyProtection="0"/>
  </cellStyleXfs>
  <cellXfs count="109">
    <xf numFmtId="0" fontId="0" fillId="0" borderId="0" xfId="0"/>
    <xf numFmtId="0" fontId="21" fillId="0" borderId="0" xfId="0" applyFont="1"/>
    <xf numFmtId="0" fontId="22" fillId="0" borderId="0" xfId="0" applyFont="1" applyAlignment="1">
      <alignment horizontal="right" vertical="center"/>
    </xf>
    <xf numFmtId="44" fontId="21" fillId="0" borderId="0" xfId="0" applyNumberFormat="1" applyFont="1"/>
    <xf numFmtId="0" fontId="27" fillId="0" borderId="0" xfId="0" applyFont="1" applyAlignment="1">
      <alignment horizontal="left" vertical="center"/>
    </xf>
    <xf numFmtId="0" fontId="23" fillId="2" borderId="10" xfId="0" applyFont="1" applyFill="1" applyBorder="1" applyAlignment="1">
      <alignment horizontal="center" vertical="center"/>
    </xf>
    <xf numFmtId="17" fontId="24" fillId="0" borderId="10" xfId="0" applyNumberFormat="1" applyFont="1" applyBorder="1" applyAlignment="1">
      <alignment horizontal="center" vertical="center"/>
    </xf>
    <xf numFmtId="44" fontId="24" fillId="0" borderId="10" xfId="1" applyFont="1" applyBorder="1" applyAlignment="1">
      <alignment horizontal="center" vertical="center"/>
    </xf>
    <xf numFmtId="44" fontId="24" fillId="0" borderId="10" xfId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43" fontId="26" fillId="0" borderId="0" xfId="5" applyFont="1" applyFill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166" fontId="24" fillId="0" borderId="10" xfId="0" applyNumberFormat="1" applyFont="1" applyBorder="1" applyAlignment="1">
      <alignment horizontal="center" vertical="center"/>
    </xf>
    <xf numFmtId="2" fontId="24" fillId="0" borderId="10" xfId="0" applyNumberFormat="1" applyFont="1" applyBorder="1" applyAlignment="1">
      <alignment horizontal="center" vertical="center"/>
    </xf>
    <xf numFmtId="43" fontId="21" fillId="0" borderId="0" xfId="5" applyFont="1" applyFill="1" applyAlignment="1">
      <alignment vertical="center"/>
    </xf>
    <xf numFmtId="43" fontId="21" fillId="0" borderId="0" xfId="5" applyFont="1" applyAlignment="1">
      <alignment vertical="center"/>
    </xf>
    <xf numFmtId="43" fontId="24" fillId="0" borderId="0" xfId="5" applyFont="1" applyAlignment="1">
      <alignment vertical="center"/>
    </xf>
    <xf numFmtId="0" fontId="23" fillId="2" borderId="11" xfId="0" applyFont="1" applyFill="1" applyBorder="1" applyAlignment="1">
      <alignment vertical="center"/>
    </xf>
    <xf numFmtId="0" fontId="23" fillId="2" borderId="12" xfId="0" applyFont="1" applyFill="1" applyBorder="1" applyAlignment="1">
      <alignment vertical="center"/>
    </xf>
    <xf numFmtId="0" fontId="23" fillId="2" borderId="12" xfId="0" applyFont="1" applyFill="1" applyBorder="1" applyAlignment="1">
      <alignment horizontal="right" vertical="center"/>
    </xf>
    <xf numFmtId="44" fontId="23" fillId="2" borderId="13" xfId="0" applyNumberFormat="1" applyFont="1" applyFill="1" applyBorder="1" applyAlignment="1">
      <alignment vertical="center"/>
    </xf>
    <xf numFmtId="165" fontId="21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44" fontId="21" fillId="0" borderId="0" xfId="0" applyNumberFormat="1" applyFont="1" applyAlignment="1">
      <alignment vertical="center"/>
    </xf>
    <xf numFmtId="164" fontId="21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9" fillId="2" borderId="10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166" fontId="24" fillId="0" borderId="10" xfId="0" applyNumberFormat="1" applyFont="1" applyBorder="1" applyAlignment="1">
      <alignment horizontal="center" vertical="center" wrapText="1"/>
    </xf>
    <xf numFmtId="4" fontId="24" fillId="0" borderId="10" xfId="0" applyNumberFormat="1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44" fontId="24" fillId="0" borderId="10" xfId="1" applyFont="1" applyBorder="1" applyAlignment="1">
      <alignment vertical="center"/>
    </xf>
    <xf numFmtId="0" fontId="31" fillId="0" borderId="0" xfId="0" applyFont="1" applyAlignment="1">
      <alignment vertical="center"/>
    </xf>
    <xf numFmtId="44" fontId="24" fillId="0" borderId="10" xfId="1" applyFont="1" applyFill="1" applyBorder="1" applyAlignment="1">
      <alignment vertical="center"/>
    </xf>
    <xf numFmtId="17" fontId="31" fillId="0" borderId="0" xfId="0" applyNumberFormat="1" applyFont="1" applyAlignment="1">
      <alignment vertical="center"/>
    </xf>
    <xf numFmtId="0" fontId="23" fillId="2" borderId="13" xfId="0" applyFont="1" applyFill="1" applyBorder="1" applyAlignment="1">
      <alignment vertical="center"/>
    </xf>
    <xf numFmtId="0" fontId="29" fillId="34" borderId="10" xfId="0" applyFont="1" applyFill="1" applyBorder="1" applyAlignment="1">
      <alignment horizontal="center" vertical="center"/>
    </xf>
    <xf numFmtId="0" fontId="33" fillId="0" borderId="0" xfId="0" applyFont="1"/>
    <xf numFmtId="17" fontId="34" fillId="0" borderId="10" xfId="0" applyNumberFormat="1" applyFont="1" applyBorder="1" applyAlignment="1">
      <alignment horizontal="center" vertical="center"/>
    </xf>
    <xf numFmtId="44" fontId="34" fillId="0" borderId="10" xfId="1" applyFont="1" applyBorder="1" applyAlignment="1">
      <alignment horizontal="center" vertical="center"/>
    </xf>
    <xf numFmtId="44" fontId="35" fillId="0" borderId="10" xfId="1" applyFont="1" applyBorder="1" applyAlignment="1">
      <alignment horizontal="center" vertical="center"/>
    </xf>
    <xf numFmtId="44" fontId="34" fillId="0" borderId="10" xfId="1" applyFont="1" applyFill="1" applyBorder="1" applyAlignment="1">
      <alignment horizontal="center" vertical="center"/>
    </xf>
    <xf numFmtId="17" fontId="36" fillId="34" borderId="10" xfId="0" applyNumberFormat="1" applyFont="1" applyFill="1" applyBorder="1" applyAlignment="1">
      <alignment horizontal="centerContinuous" vertical="center"/>
    </xf>
    <xf numFmtId="44" fontId="36" fillId="34" borderId="10" xfId="1" applyFont="1" applyFill="1" applyBorder="1" applyAlignment="1">
      <alignment horizontal="center" vertical="center"/>
    </xf>
    <xf numFmtId="49" fontId="40" fillId="0" borderId="0" xfId="0" applyNumberFormat="1" applyFont="1" applyAlignment="1">
      <alignment horizontal="left" vertical="center"/>
    </xf>
    <xf numFmtId="169" fontId="24" fillId="0" borderId="10" xfId="0" applyNumberFormat="1" applyFont="1" applyBorder="1" applyAlignment="1">
      <alignment horizontal="center" vertical="center"/>
    </xf>
    <xf numFmtId="0" fontId="24" fillId="0" borderId="10" xfId="1" applyNumberFormat="1" applyFont="1" applyFill="1" applyBorder="1" applyAlignment="1">
      <alignment horizontal="center" vertical="center"/>
    </xf>
    <xf numFmtId="167" fontId="24" fillId="0" borderId="10" xfId="1" applyNumberFormat="1" applyFont="1" applyFill="1" applyBorder="1" applyAlignment="1">
      <alignment horizontal="center" vertical="center"/>
    </xf>
    <xf numFmtId="164" fontId="42" fillId="0" borderId="0" xfId="0" applyNumberFormat="1" applyFont="1" applyAlignment="1">
      <alignment vertical="center"/>
    </xf>
    <xf numFmtId="8" fontId="31" fillId="0" borderId="0" xfId="0" applyNumberFormat="1" applyFont="1" applyAlignment="1">
      <alignment horizontal="right" vertical="center"/>
    </xf>
    <xf numFmtId="8" fontId="31" fillId="0" borderId="0" xfId="0" applyNumberFormat="1" applyFont="1" applyAlignment="1">
      <alignment vertical="center"/>
    </xf>
    <xf numFmtId="44" fontId="31" fillId="0" borderId="0" xfId="0" applyNumberFormat="1" applyFont="1" applyAlignment="1">
      <alignment vertical="center"/>
    </xf>
    <xf numFmtId="20" fontId="21" fillId="0" borderId="0" xfId="0" applyNumberFormat="1" applyFont="1" applyAlignment="1">
      <alignment vertical="center"/>
    </xf>
    <xf numFmtId="0" fontId="43" fillId="0" borderId="0" xfId="0" applyFont="1" applyAlignment="1">
      <alignment vertical="center"/>
    </xf>
    <xf numFmtId="0" fontId="23" fillId="2" borderId="10" xfId="0" applyFont="1" applyFill="1" applyBorder="1" applyAlignment="1">
      <alignment horizontal="center" vertical="center" wrapText="1"/>
    </xf>
    <xf numFmtId="0" fontId="44" fillId="0" borderId="0" xfId="47" applyFont="1" applyAlignment="1">
      <alignment vertical="center"/>
    </xf>
    <xf numFmtId="17" fontId="24" fillId="35" borderId="10" xfId="0" applyNumberFormat="1" applyFont="1" applyFill="1" applyBorder="1" applyAlignment="1">
      <alignment horizontal="center" vertical="center"/>
    </xf>
    <xf numFmtId="0" fontId="24" fillId="35" borderId="10" xfId="0" applyFont="1" applyFill="1" applyBorder="1" applyAlignment="1">
      <alignment horizontal="center" vertical="center"/>
    </xf>
    <xf numFmtId="166" fontId="24" fillId="35" borderId="10" xfId="0" applyNumberFormat="1" applyFont="1" applyFill="1" applyBorder="1" applyAlignment="1">
      <alignment horizontal="center" vertical="center"/>
    </xf>
    <xf numFmtId="2" fontId="24" fillId="35" borderId="10" xfId="0" applyNumberFormat="1" applyFont="1" applyFill="1" applyBorder="1" applyAlignment="1">
      <alignment horizontal="center" vertical="center"/>
    </xf>
    <xf numFmtId="44" fontId="24" fillId="35" borderId="10" xfId="1" applyFont="1" applyFill="1" applyBorder="1" applyAlignment="1">
      <alignment horizontal="center" vertical="center"/>
    </xf>
    <xf numFmtId="168" fontId="24" fillId="35" borderId="10" xfId="0" applyNumberFormat="1" applyFont="1" applyFill="1" applyBorder="1" applyAlignment="1">
      <alignment horizontal="center" vertical="center"/>
    </xf>
    <xf numFmtId="0" fontId="24" fillId="35" borderId="10" xfId="0" applyFont="1" applyFill="1" applyBorder="1" applyAlignment="1">
      <alignment horizontal="center" vertical="center" wrapText="1"/>
    </xf>
    <xf numFmtId="166" fontId="24" fillId="35" borderId="10" xfId="0" applyNumberFormat="1" applyFont="1" applyFill="1" applyBorder="1" applyAlignment="1">
      <alignment horizontal="center" vertical="center" wrapText="1"/>
    </xf>
    <xf numFmtId="169" fontId="24" fillId="35" borderId="10" xfId="0" applyNumberFormat="1" applyFont="1" applyFill="1" applyBorder="1" applyAlignment="1">
      <alignment horizontal="center" vertical="center"/>
    </xf>
    <xf numFmtId="167" fontId="24" fillId="35" borderId="10" xfId="1" applyNumberFormat="1" applyFont="1" applyFill="1" applyBorder="1" applyAlignment="1">
      <alignment horizontal="center" vertical="center"/>
    </xf>
    <xf numFmtId="168" fontId="24" fillId="0" borderId="10" xfId="0" applyNumberFormat="1" applyFont="1" applyBorder="1" applyAlignment="1">
      <alignment horizontal="center" vertical="center"/>
    </xf>
    <xf numFmtId="167" fontId="24" fillId="0" borderId="10" xfId="1" applyNumberFormat="1" applyFont="1" applyBorder="1" applyAlignment="1">
      <alignment horizontal="center" vertical="center"/>
    </xf>
    <xf numFmtId="0" fontId="24" fillId="0" borderId="10" xfId="1" applyNumberFormat="1" applyFont="1" applyBorder="1" applyAlignment="1">
      <alignment horizontal="center" vertical="center"/>
    </xf>
    <xf numFmtId="0" fontId="24" fillId="35" borderId="10" xfId="1" applyNumberFormat="1" applyFont="1" applyFill="1" applyBorder="1" applyAlignment="1">
      <alignment horizontal="center" vertical="center"/>
    </xf>
    <xf numFmtId="0" fontId="39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 vertical="center"/>
    </xf>
    <xf numFmtId="43" fontId="21" fillId="35" borderId="10" xfId="5" applyFont="1" applyFill="1" applyBorder="1" applyAlignment="1">
      <alignment horizontal="center" vertical="center"/>
    </xf>
    <xf numFmtId="43" fontId="21" fillId="35" borderId="10" xfId="4" applyFont="1" applyFill="1" applyBorder="1" applyAlignment="1">
      <alignment horizontal="center" vertical="center"/>
    </xf>
    <xf numFmtId="43" fontId="21" fillId="36" borderId="10" xfId="5" applyFont="1" applyFill="1" applyBorder="1" applyAlignment="1">
      <alignment horizontal="center" vertical="center"/>
    </xf>
    <xf numFmtId="43" fontId="21" fillId="36" borderId="10" xfId="4" applyFont="1" applyFill="1" applyBorder="1" applyAlignment="1">
      <alignment horizontal="center" vertical="center"/>
    </xf>
    <xf numFmtId="0" fontId="45" fillId="0" borderId="0" xfId="47" applyFont="1"/>
    <xf numFmtId="9" fontId="21" fillId="0" borderId="0" xfId="48" applyFont="1"/>
    <xf numFmtId="0" fontId="46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17" fontId="47" fillId="0" borderId="0" xfId="0" applyNumberFormat="1" applyFont="1" applyAlignment="1">
      <alignment vertical="center"/>
    </xf>
    <xf numFmtId="0" fontId="47" fillId="0" borderId="0" xfId="0" applyFont="1" applyAlignment="1">
      <alignment vertical="center"/>
    </xf>
    <xf numFmtId="44" fontId="25" fillId="0" borderId="10" xfId="1" applyFont="1" applyFill="1" applyBorder="1" applyAlignment="1">
      <alignment vertical="center"/>
    </xf>
    <xf numFmtId="44" fontId="23" fillId="2" borderId="12" xfId="0" applyNumberFormat="1" applyFont="1" applyFill="1" applyBorder="1" applyAlignment="1">
      <alignment vertical="center"/>
    </xf>
    <xf numFmtId="166" fontId="24" fillId="0" borderId="12" xfId="0" applyNumberFormat="1" applyFont="1" applyBorder="1" applyAlignment="1">
      <alignment horizontal="center" vertical="center" wrapText="1"/>
    </xf>
    <xf numFmtId="0" fontId="24" fillId="0" borderId="12" xfId="1" applyNumberFormat="1" applyFont="1" applyFill="1" applyBorder="1" applyAlignment="1">
      <alignment horizontal="center" vertical="center"/>
    </xf>
    <xf numFmtId="44" fontId="24" fillId="0" borderId="12" xfId="1" applyFont="1" applyBorder="1" applyAlignment="1">
      <alignment horizontal="center" vertical="center"/>
    </xf>
    <xf numFmtId="44" fontId="24" fillId="0" borderId="13" xfId="1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44" fontId="24" fillId="0" borderId="13" xfId="1" applyFont="1" applyFill="1" applyBorder="1" applyAlignment="1">
      <alignment vertical="center"/>
    </xf>
    <xf numFmtId="167" fontId="24" fillId="0" borderId="12" xfId="1" applyNumberFormat="1" applyFont="1" applyBorder="1" applyAlignment="1">
      <alignment horizontal="center" vertical="center"/>
    </xf>
    <xf numFmtId="17" fontId="24" fillId="0" borderId="11" xfId="0" applyNumberFormat="1" applyFont="1" applyBorder="1" applyAlignment="1">
      <alignment horizontal="center" vertical="center"/>
    </xf>
    <xf numFmtId="44" fontId="24" fillId="0" borderId="13" xfId="1" applyFont="1" applyFill="1" applyBorder="1" applyAlignment="1">
      <alignment horizontal="center" vertical="center"/>
    </xf>
    <xf numFmtId="0" fontId="34" fillId="0" borderId="0" xfId="0" applyFont="1" applyAlignment="1">
      <alignment horizontal="justify" vertical="center" wrapText="1"/>
    </xf>
    <xf numFmtId="0" fontId="41" fillId="0" borderId="0" xfId="0" applyFont="1" applyAlignment="1">
      <alignment horizontal="left" vertical="center"/>
    </xf>
    <xf numFmtId="0" fontId="23" fillId="2" borderId="10" xfId="0" applyFont="1" applyFill="1" applyBorder="1" applyAlignment="1">
      <alignment horizontal="center" vertical="center"/>
    </xf>
    <xf numFmtId="0" fontId="23" fillId="2" borderId="11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44" fontId="24" fillId="0" borderId="10" xfId="1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44" fontId="24" fillId="0" borderId="10" xfId="1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</cellXfs>
  <cellStyles count="131">
    <cellStyle name="20% - Accent1" xfId="52" xr:uid="{923FC150-A19E-459F-A554-1476C2B3BCFF}"/>
    <cellStyle name="20% - Accent2" xfId="53" xr:uid="{4955E74A-BF23-48DD-830A-E6606E5FBD28}"/>
    <cellStyle name="20% - Accent3" xfId="54" xr:uid="{0B77A3AC-A1C1-4101-A08A-6A5263278FB6}"/>
    <cellStyle name="20% - Accent4" xfId="55" xr:uid="{E1D17A4F-E986-4E93-86BE-5B6463CA27D9}"/>
    <cellStyle name="20% - Accent5" xfId="56" xr:uid="{990C5930-EAE1-4465-96B2-0E29109D889F}"/>
    <cellStyle name="20% - Accent6" xfId="57" xr:uid="{F6B62996-E60A-4AB8-96FF-DCF50ADE102F}"/>
    <cellStyle name="20% - Ênfase1" xfId="23" builtinId="30" customBuiltin="1"/>
    <cellStyle name="20% - Ênfase1 2" xfId="58" xr:uid="{67A95BA2-1F50-4E53-8F19-D278A52EDA93}"/>
    <cellStyle name="20% - Ênfase2" xfId="26" builtinId="34" customBuiltin="1"/>
    <cellStyle name="20% - Ênfase2 2" xfId="59" xr:uid="{EF57BBE6-2775-4041-958B-4F0A01FE53E6}"/>
    <cellStyle name="20% - Ênfase3" xfId="29" builtinId="38" customBuiltin="1"/>
    <cellStyle name="20% - Ênfase3 2" xfId="60" xr:uid="{4C6BFAB5-0DA2-4E0F-8723-1C62ED80B7D7}"/>
    <cellStyle name="20% - Ênfase4" xfId="32" builtinId="42" customBuiltin="1"/>
    <cellStyle name="20% - Ênfase4 2" xfId="61" xr:uid="{45308291-A61F-479B-91F4-78FA0066C075}"/>
    <cellStyle name="20% - Ênfase5" xfId="35" builtinId="46" customBuiltin="1"/>
    <cellStyle name="20% - Ênfase5 2" xfId="62" xr:uid="{8E5E63E8-2A7A-4C4C-88EC-0137A8788526}"/>
    <cellStyle name="20% - Ênfase6" xfId="38" builtinId="50" customBuiltin="1"/>
    <cellStyle name="20% - Ênfase6 2" xfId="63" xr:uid="{17D2FD71-6574-4159-9F47-FBF19DA96239}"/>
    <cellStyle name="40% - Accent1" xfId="64" xr:uid="{ADCFE3D7-4FDD-4B20-9ACF-0668EEE2E76F}"/>
    <cellStyle name="40% - Accent2" xfId="65" xr:uid="{1CB87B26-FD35-42CF-96B8-2CB3BFE07534}"/>
    <cellStyle name="40% - Accent3" xfId="66" xr:uid="{748F0E12-F8AE-4886-A6FF-051757DC05A4}"/>
    <cellStyle name="40% - Accent4" xfId="67" xr:uid="{0E708EDA-E1ED-4834-AD47-BA8B5CDECD75}"/>
    <cellStyle name="40% - Accent5" xfId="68" xr:uid="{F11B2C99-FBE9-4361-8663-1A68070678F8}"/>
    <cellStyle name="40% - Accent6" xfId="69" xr:uid="{18034303-DB04-4770-990C-63784B329002}"/>
    <cellStyle name="40% - Ênfase1" xfId="24" builtinId="31" customBuiltin="1"/>
    <cellStyle name="40% - Ênfase1 2" xfId="70" xr:uid="{BD3F6F45-0D63-4771-ACA0-1DD42A0744E4}"/>
    <cellStyle name="40% - Ênfase2" xfId="27" builtinId="35" customBuiltin="1"/>
    <cellStyle name="40% - Ênfase2 2" xfId="71" xr:uid="{A93DCA21-802F-4F4B-BF45-5BB052539479}"/>
    <cellStyle name="40% - Ênfase3" xfId="30" builtinId="39" customBuiltin="1"/>
    <cellStyle name="40% - Ênfase3 2" xfId="72" xr:uid="{20567138-E010-4282-A326-D39284C36205}"/>
    <cellStyle name="40% - Ênfase4" xfId="33" builtinId="43" customBuiltin="1"/>
    <cellStyle name="40% - Ênfase4 2" xfId="73" xr:uid="{33ABACD6-4A28-48B6-8D26-A401F11CC582}"/>
    <cellStyle name="40% - Ênfase5" xfId="36" builtinId="47" customBuiltin="1"/>
    <cellStyle name="40% - Ênfase5 2" xfId="74" xr:uid="{35C33022-2DF9-4C75-8EAA-64D10B318017}"/>
    <cellStyle name="40% - Ênfase6" xfId="39" builtinId="51" customBuiltin="1"/>
    <cellStyle name="40% - Ênfase6 2" xfId="75" xr:uid="{6B5CF636-A329-4979-A892-AF65F1F8354D}"/>
    <cellStyle name="60% - Accent1" xfId="76" xr:uid="{DD0A43CE-8430-4780-9A59-21F8D4F036E5}"/>
    <cellStyle name="60% - Accent2" xfId="77" xr:uid="{294C9347-7564-42E7-BC31-36CD20412F0C}"/>
    <cellStyle name="60% - Accent3" xfId="78" xr:uid="{6678ABE2-3C4B-4AD9-AD63-8B6C12E9D3C7}"/>
    <cellStyle name="60% - Accent4" xfId="79" xr:uid="{32502877-F242-4D7A-A04A-AF73DEAF0246}"/>
    <cellStyle name="60% - Accent5" xfId="80" xr:uid="{84DDACA3-5C3E-4257-8EA9-D01C526E6AE0}"/>
    <cellStyle name="60% - Accent6" xfId="81" xr:uid="{AB0557AB-FFB4-4D9A-9B6E-F34B00A213FF}"/>
    <cellStyle name="60% - Ênfase1 2" xfId="41" xr:uid="{E9C77F3A-74CD-4AB4-BF44-1ABDB01CEC0D}"/>
    <cellStyle name="60% - Ênfase1 3" xfId="82" xr:uid="{DEA48703-A7A1-46FC-B753-13411AA70E78}"/>
    <cellStyle name="60% - Ênfase2 2" xfId="42" xr:uid="{ACD39A74-3D32-425E-A44B-9596F4A4DFBA}"/>
    <cellStyle name="60% - Ênfase2 3" xfId="83" xr:uid="{DBA085F3-C70B-46D2-B2BE-BF37C62E1B08}"/>
    <cellStyle name="60% - Ênfase3 2" xfId="43" xr:uid="{462F5587-55E8-4004-B289-0621E49F0337}"/>
    <cellStyle name="60% - Ênfase3 3" xfId="84" xr:uid="{67D4AB51-23FB-4FCF-8176-2E5A1681C1CA}"/>
    <cellStyle name="60% - Ênfase4 2" xfId="44" xr:uid="{23B60706-03F2-4A8E-ADEC-E869DA5D5558}"/>
    <cellStyle name="60% - Ênfase4 3" xfId="85" xr:uid="{828C6D2A-2281-43F9-A19A-11D2129FED67}"/>
    <cellStyle name="60% - Ênfase5 2" xfId="45" xr:uid="{18325649-F45A-41B5-91B1-9225F63B4A01}"/>
    <cellStyle name="60% - Ênfase5 3" xfId="86" xr:uid="{8760C4E1-96DB-4E9B-8892-A1AACFA6DBAE}"/>
    <cellStyle name="60% - Ênfase6 2" xfId="46" xr:uid="{09A9823D-4876-415C-9FC7-430EDE8B2486}"/>
    <cellStyle name="60% - Ênfase6 3" xfId="87" xr:uid="{44B6B52D-D15A-4A4C-A09D-21F67C233C8A}"/>
    <cellStyle name="Accent1" xfId="88" xr:uid="{70D408D4-8CB2-4CB2-86F9-4D8FE8A4CCB8}"/>
    <cellStyle name="Accent2" xfId="89" xr:uid="{0489DE16-B20D-476A-AEC1-C84F94336B3C}"/>
    <cellStyle name="Accent3" xfId="90" xr:uid="{29189B1E-1D81-4793-9F1D-AC966F5007EE}"/>
    <cellStyle name="Accent4" xfId="91" xr:uid="{A13D931F-D9B9-4FCC-8831-A5A17B3360AD}"/>
    <cellStyle name="Accent5" xfId="92" xr:uid="{DB5D62F1-44AE-4D94-B42F-0FD14C187B77}"/>
    <cellStyle name="Accent6" xfId="93" xr:uid="{F3063074-BC42-403C-BB61-8001B71A9073}"/>
    <cellStyle name="Bad" xfId="94" xr:uid="{F86FA095-CF15-4AC7-8A6E-8D86FFC56533}"/>
    <cellStyle name="Bom" xfId="11" builtinId="26" customBuiltin="1"/>
    <cellStyle name="Bom 2" xfId="95" xr:uid="{13F0BB14-EE0F-4D7D-A0CE-A322C96D7005}"/>
    <cellStyle name="Calculation" xfId="96" xr:uid="{11C5AF98-897D-411F-8D57-492DEA0BA77E}"/>
    <cellStyle name="Cálculo" xfId="15" builtinId="22" customBuiltin="1"/>
    <cellStyle name="Cálculo 2" xfId="97" xr:uid="{604259C7-3A40-4F5F-8B05-8DE461920ED0}"/>
    <cellStyle name="Célula de Verificação" xfId="17" builtinId="23" customBuiltin="1"/>
    <cellStyle name="Célula de Verificação 2" xfId="98" xr:uid="{C2E16986-1356-4225-8725-8E9FAC80732E}"/>
    <cellStyle name="Célula Vinculada" xfId="16" builtinId="24" customBuiltin="1"/>
    <cellStyle name="Célula Vinculada 2" xfId="99" xr:uid="{1C708A48-5B93-489C-B286-3D4F40FC0722}"/>
    <cellStyle name="Check Cell" xfId="100" xr:uid="{137CA898-D1C1-496B-AEF5-4E4E6828D399}"/>
    <cellStyle name="Ênfase1" xfId="22" builtinId="29" customBuiltin="1"/>
    <cellStyle name="Ênfase1 2" xfId="101" xr:uid="{4DED7312-A082-4550-AAEC-780D65173D9C}"/>
    <cellStyle name="Ênfase2" xfId="25" builtinId="33" customBuiltin="1"/>
    <cellStyle name="Ênfase2 2" xfId="102" xr:uid="{FB6070E3-7042-4197-B82F-7AD336524F07}"/>
    <cellStyle name="Ênfase3" xfId="28" builtinId="37" customBuiltin="1"/>
    <cellStyle name="Ênfase3 2" xfId="103" xr:uid="{ED109754-484F-4046-B4C6-7078BF6A930C}"/>
    <cellStyle name="Ênfase4" xfId="31" builtinId="41" customBuiltin="1"/>
    <cellStyle name="Ênfase4 2" xfId="104" xr:uid="{F1F729B1-3017-459F-A70B-E980C47CF769}"/>
    <cellStyle name="Ênfase5" xfId="34" builtinId="45" customBuiltin="1"/>
    <cellStyle name="Ênfase5 2" xfId="105" xr:uid="{AF062417-48CE-4B14-AB8E-D93DD86704D4}"/>
    <cellStyle name="Ênfase6" xfId="37" builtinId="49" customBuiltin="1"/>
    <cellStyle name="Ênfase6 2" xfId="106" xr:uid="{88AFE2A2-C180-41C1-B6D3-1C15D62B8936}"/>
    <cellStyle name="Entrada" xfId="13" builtinId="20" customBuiltin="1"/>
    <cellStyle name="Entrada 2" xfId="107" xr:uid="{F6D2590B-9347-439F-98FD-6D519A5263D5}"/>
    <cellStyle name="Explanatory Text" xfId="108" xr:uid="{CF1BFCAB-CAB3-485A-AF32-C38EB59E9F16}"/>
    <cellStyle name="Good" xfId="109" xr:uid="{4525AB1B-F196-4507-9AC8-FAECA6F904AD}"/>
    <cellStyle name="Heading 1" xfId="110" xr:uid="{872F6A44-3C16-46E8-8E99-9EC726A17045}"/>
    <cellStyle name="Heading 2" xfId="111" xr:uid="{31176EB1-88D1-4176-99B5-E9BAD93E7CF3}"/>
    <cellStyle name="Heading 3" xfId="112" xr:uid="{FD05DFD6-9FE6-4550-BD72-A6F0DCC55D8C}"/>
    <cellStyle name="Heading 4" xfId="113" xr:uid="{D5A5932A-A61A-4830-AF6B-BD22B0E8FFF4}"/>
    <cellStyle name="Input" xfId="114" xr:uid="{804425CB-99E0-49D3-B509-44B2F8BABC86}"/>
    <cellStyle name="Linked Cell" xfId="115" xr:uid="{8A47A0EF-336C-44AF-82C0-C814479D08CB}"/>
    <cellStyle name="Moeda" xfId="1" builtinId="4"/>
    <cellStyle name="Moeda 2" xfId="50" xr:uid="{723557A3-FCC1-4C4E-A5D3-A4E3A54B213E}"/>
    <cellStyle name="Neutral" xfId="116" xr:uid="{205B79F1-D4BF-4E02-BA5B-A7B648DB07A0}"/>
    <cellStyle name="Neutro 2" xfId="40" xr:uid="{D4D1ADA3-8130-49A3-A340-D6FE97F4BC07}"/>
    <cellStyle name="Normal" xfId="0" builtinId="0"/>
    <cellStyle name="Normal 2" xfId="2" xr:uid="{00000000-0005-0000-0000-000002000000}"/>
    <cellStyle name="Normal 3 2" xfId="47" xr:uid="{A762FE1B-8CA9-4B40-89F0-A859B1DDE37D}"/>
    <cellStyle name="Normal 5" xfId="51" xr:uid="{695FAD00-D3D6-485C-9A60-EBE13DD69824}"/>
    <cellStyle name="Nota" xfId="19" builtinId="10" customBuiltin="1"/>
    <cellStyle name="Nota 2" xfId="117" xr:uid="{7AED9E09-4C2A-4615-8316-3AF417A00107}"/>
    <cellStyle name="Note" xfId="118" xr:uid="{CDCC60E4-C0D8-4236-9395-CB8E37B913B5}"/>
    <cellStyle name="Output" xfId="119" xr:uid="{97AC0EC2-F1B7-4A7D-8B32-AA98A6B71DED}"/>
    <cellStyle name="Porcentagem" xfId="48" builtinId="5"/>
    <cellStyle name="Porcentagem 2" xfId="3" xr:uid="{00000000-0005-0000-0000-000003000000}"/>
    <cellStyle name="Ruim" xfId="12" builtinId="27" customBuiltin="1"/>
    <cellStyle name="Saída" xfId="14" builtinId="21" customBuiltin="1"/>
    <cellStyle name="Saída 2" xfId="120" xr:uid="{1BE9EB55-2EE2-4984-882A-A5A74976047C}"/>
    <cellStyle name="Texto de Aviso" xfId="18" builtinId="11" customBuiltin="1"/>
    <cellStyle name="Texto de Aviso 2" xfId="121" xr:uid="{33C0576D-C0EA-4699-A9BD-5E3134DEC11E}"/>
    <cellStyle name="Texto Explicativo" xfId="20" builtinId="53" customBuiltin="1"/>
    <cellStyle name="Texto Explicativo 2" xfId="122" xr:uid="{0E064687-CD1D-47FE-9FC3-062927B4514B}"/>
    <cellStyle name="Title" xfId="123" xr:uid="{7E1BD14F-6390-4E88-95C6-C9C085DBC6AC}"/>
    <cellStyle name="Título" xfId="6" builtinId="15" customBuiltin="1"/>
    <cellStyle name="Título 1" xfId="7" builtinId="16" customBuiltin="1"/>
    <cellStyle name="Título 1 2" xfId="125" xr:uid="{8CA79DF3-FFE0-43A7-A73D-21B61E4498A8}"/>
    <cellStyle name="Título 2" xfId="8" builtinId="17" customBuiltin="1"/>
    <cellStyle name="Título 2 2" xfId="126" xr:uid="{7375185D-0330-4917-8606-27BFED317083}"/>
    <cellStyle name="Título 3" xfId="9" builtinId="18" customBuiltin="1"/>
    <cellStyle name="Título 3 2" xfId="127" xr:uid="{2E83B529-5A6B-410A-AE69-08F23C221240}"/>
    <cellStyle name="Título 4" xfId="10" builtinId="19" customBuiltin="1"/>
    <cellStyle name="Título 4 2" xfId="128" xr:uid="{9038F9A6-78BA-4B21-A96F-05E386E065EA}"/>
    <cellStyle name="Título 5" xfId="124" xr:uid="{60A7B57B-066C-46BC-B8E0-465D3286B017}"/>
    <cellStyle name="Total" xfId="21" builtinId="25" customBuiltin="1"/>
    <cellStyle name="Total 2" xfId="129" xr:uid="{ED3FE5C5-CA8A-432D-A18C-467C08F35334}"/>
    <cellStyle name="Vírgula" xfId="5" builtinId="3"/>
    <cellStyle name="Vírgula 2" xfId="4" xr:uid="{00000000-0005-0000-0000-000005000000}"/>
    <cellStyle name="Vírgula 3" xfId="49" xr:uid="{22133D70-3260-42E1-9E26-5F51CE1867D1}"/>
    <cellStyle name="Warning Text" xfId="130" xr:uid="{F7FC2A58-358B-47AB-B30F-FADC977BAA9D}"/>
  </cellStyles>
  <dxfs count="0"/>
  <tableStyles count="1" defaultTableStyle="TableStyleMedium2" defaultPivotStyle="PivotStyleLight16">
    <tableStyle name="Invisible" pivot="0" table="0" count="0" xr9:uid="{4E2207FF-1592-475F-9695-3DC31BC69131}"/>
  </tableStyles>
  <colors>
    <mruColors>
      <color rgb="FFFFFFFF"/>
      <color rgb="FFEAF5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1</xdr:row>
      <xdr:rowOff>57150</xdr:rowOff>
    </xdr:from>
    <xdr:to>
      <xdr:col>2</xdr:col>
      <xdr:colOff>314960</xdr:colOff>
      <xdr:row>2</xdr:row>
      <xdr:rowOff>218871</xdr:rowOff>
    </xdr:to>
    <xdr:pic>
      <xdr:nvPicPr>
        <xdr:cNvPr id="3" name="Imagem 2" descr="Logotipo&#10;&#10;Descrição gerada automaticamente">
          <a:extLst>
            <a:ext uri="{FF2B5EF4-FFF2-40B4-BE49-F238E27FC236}">
              <a16:creationId xmlns:a16="http://schemas.microsoft.com/office/drawing/2014/main" id="{A37D860B-F484-4F13-8AF8-0ACA992D1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247650"/>
          <a:ext cx="1219200" cy="4557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78441</xdr:colOff>
      <xdr:row>1</xdr:row>
      <xdr:rowOff>44823</xdr:rowOff>
    </xdr:from>
    <xdr:to>
      <xdr:col>2</xdr:col>
      <xdr:colOff>222100</xdr:colOff>
      <xdr:row>2</xdr:row>
      <xdr:rowOff>216181</xdr:rowOff>
    </xdr:to>
    <xdr:pic>
      <xdr:nvPicPr>
        <xdr:cNvPr id="2" name="Imagem 1" descr="Logotipo&#10;&#10;Descrição gerada automaticamente">
          <a:extLst>
            <a:ext uri="{FF2B5EF4-FFF2-40B4-BE49-F238E27FC236}">
              <a16:creationId xmlns:a16="http://schemas.microsoft.com/office/drawing/2014/main" id="{A9F1B658-6534-48D9-BFD9-37AA21050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970" y="235323"/>
          <a:ext cx="1219200" cy="4557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78441</xdr:colOff>
      <xdr:row>1</xdr:row>
      <xdr:rowOff>51227</xdr:rowOff>
    </xdr:from>
    <xdr:to>
      <xdr:col>2</xdr:col>
      <xdr:colOff>179555</xdr:colOff>
      <xdr:row>2</xdr:row>
      <xdr:rowOff>277195</xdr:rowOff>
    </xdr:to>
    <xdr:pic>
      <xdr:nvPicPr>
        <xdr:cNvPr id="2" name="Imagem 1" descr="Logotipo&#10;&#10;Descrição gerada automaticamente">
          <a:extLst>
            <a:ext uri="{FF2B5EF4-FFF2-40B4-BE49-F238E27FC236}">
              <a16:creationId xmlns:a16="http://schemas.microsoft.com/office/drawing/2014/main" id="{EABC9622-11FE-41A8-9A3B-C91A0C3B3F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370" y="241727"/>
          <a:ext cx="1219439" cy="5208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78441</xdr:colOff>
      <xdr:row>1</xdr:row>
      <xdr:rowOff>78441</xdr:rowOff>
    </xdr:from>
    <xdr:to>
      <xdr:col>2</xdr:col>
      <xdr:colOff>182730</xdr:colOff>
      <xdr:row>3</xdr:row>
      <xdr:rowOff>7864</xdr:rowOff>
    </xdr:to>
    <xdr:pic>
      <xdr:nvPicPr>
        <xdr:cNvPr id="4" name="Imagem 3" descr="Logotipo&#10;&#10;Descrição gerada automaticamente">
          <a:extLst>
            <a:ext uri="{FF2B5EF4-FFF2-40B4-BE49-F238E27FC236}">
              <a16:creationId xmlns:a16="http://schemas.microsoft.com/office/drawing/2014/main" id="{9C93BA32-1A6B-4C76-B229-DD3D3B45CB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091" y="268941"/>
          <a:ext cx="1218079" cy="51679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78441</xdr:colOff>
      <xdr:row>1</xdr:row>
      <xdr:rowOff>78441</xdr:rowOff>
    </xdr:from>
    <xdr:to>
      <xdr:col>2</xdr:col>
      <xdr:colOff>182730</xdr:colOff>
      <xdr:row>3</xdr:row>
      <xdr:rowOff>35169</xdr:rowOff>
    </xdr:to>
    <xdr:pic>
      <xdr:nvPicPr>
        <xdr:cNvPr id="4" name="Imagem 3" descr="Logotipo&#10;&#10;Descrição gerada automaticamente">
          <a:extLst>
            <a:ext uri="{FF2B5EF4-FFF2-40B4-BE49-F238E27FC236}">
              <a16:creationId xmlns:a16="http://schemas.microsoft.com/office/drawing/2014/main" id="{5BBEC283-1745-4F0B-8F0F-44CF5269E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091" y="268941"/>
          <a:ext cx="1218079" cy="51679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440839</xdr:colOff>
      <xdr:row>1</xdr:row>
      <xdr:rowOff>545373</xdr:rowOff>
    </xdr:to>
    <xdr:pic>
      <xdr:nvPicPr>
        <xdr:cNvPr id="2" name="Imagem 1" descr="Logotipo&#10;&#10;Descrição gerada automaticamente">
          <a:extLst>
            <a:ext uri="{FF2B5EF4-FFF2-40B4-BE49-F238E27FC236}">
              <a16:creationId xmlns:a16="http://schemas.microsoft.com/office/drawing/2014/main" id="{B292F20E-BAE4-4444-8D55-C583BFA7B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" y="190500"/>
          <a:ext cx="1221889" cy="54727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175260</xdr:rowOff>
    </xdr:from>
    <xdr:to>
      <xdr:col>2</xdr:col>
      <xdr:colOff>568474</xdr:colOff>
      <xdr:row>1</xdr:row>
      <xdr:rowOff>523783</xdr:rowOff>
    </xdr:to>
    <xdr:pic>
      <xdr:nvPicPr>
        <xdr:cNvPr id="2" name="Imagem 1" descr="Logotipo&#10;&#10;Descrição gerada automaticamente">
          <a:extLst>
            <a:ext uri="{FF2B5EF4-FFF2-40B4-BE49-F238E27FC236}">
              <a16:creationId xmlns:a16="http://schemas.microsoft.com/office/drawing/2014/main" id="{B2C6633F-4CD0-4CC7-814C-5BAD910AE5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" y="175260"/>
          <a:ext cx="1223794" cy="545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Cores_CCEE">
      <a:dk1>
        <a:srgbClr val="000C4C"/>
      </a:dk1>
      <a:lt1>
        <a:srgbClr val="B8DDE1"/>
      </a:lt1>
      <a:dk2>
        <a:srgbClr val="06038D"/>
      </a:dk2>
      <a:lt2>
        <a:srgbClr val="4C4C4C"/>
      </a:lt2>
      <a:accent1>
        <a:srgbClr val="000C4C"/>
      </a:accent1>
      <a:accent2>
        <a:srgbClr val="B8DDE1"/>
      </a:accent2>
      <a:accent3>
        <a:srgbClr val="4C4C4C"/>
      </a:accent3>
      <a:accent4>
        <a:srgbClr val="06038D"/>
      </a:accent4>
      <a:accent5>
        <a:srgbClr val="00FFFF"/>
      </a:accent5>
      <a:accent6>
        <a:srgbClr val="A3B2FF"/>
      </a:accent6>
      <a:hlink>
        <a:srgbClr val="000C4C"/>
      </a:hlink>
      <a:folHlink>
        <a:srgbClr val="06038D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151"/>
  <sheetViews>
    <sheetView showGridLines="0" tabSelected="1" workbookViewId="0">
      <pane xSplit="3" ySplit="5" topLeftCell="D137" activePane="bottomRight" state="frozen"/>
      <selection pane="topRight" activeCell="D1" sqref="D1"/>
      <selection pane="bottomLeft" activeCell="A6" sqref="A6"/>
      <selection pane="bottomRight" activeCell="D145" sqref="D145:H145"/>
    </sheetView>
  </sheetViews>
  <sheetFormatPr defaultColWidth="9.1796875" defaultRowHeight="14.5"/>
  <cols>
    <col min="1" max="1" width="2.7265625" style="1" customWidth="1"/>
    <col min="2" max="3" width="16.54296875" style="1" customWidth="1"/>
    <col min="4" max="8" width="21.81640625" style="1" customWidth="1"/>
    <col min="9" max="16384" width="9.1796875" style="1"/>
  </cols>
  <sheetData>
    <row r="2" spans="2:8" ht="24">
      <c r="D2" s="81" t="s">
        <v>40</v>
      </c>
      <c r="H2" s="2"/>
    </row>
    <row r="3" spans="2:8" ht="24">
      <c r="D3" s="81" t="s">
        <v>35</v>
      </c>
      <c r="H3" s="2"/>
    </row>
    <row r="5" spans="2:8" s="42" customFormat="1" ht="20.25" customHeight="1">
      <c r="B5" s="41" t="s">
        <v>34</v>
      </c>
      <c r="C5" s="41" t="s">
        <v>50</v>
      </c>
      <c r="D5" s="41" t="s">
        <v>30</v>
      </c>
      <c r="E5" s="41" t="s">
        <v>31</v>
      </c>
      <c r="F5" s="41" t="s">
        <v>32</v>
      </c>
      <c r="G5" s="41" t="s">
        <v>46</v>
      </c>
      <c r="H5" s="41" t="s">
        <v>33</v>
      </c>
    </row>
    <row r="6" spans="2:8" s="42" customFormat="1" ht="14.25" customHeight="1">
      <c r="B6" s="43">
        <v>41579</v>
      </c>
      <c r="C6" s="43">
        <v>41609</v>
      </c>
      <c r="D6" s="44">
        <f>'LT COMODORO'!J9</f>
        <v>267167.55132899998</v>
      </c>
      <c r="E6" s="44">
        <v>0</v>
      </c>
      <c r="F6" s="44">
        <v>0</v>
      </c>
      <c r="G6" s="44">
        <v>0</v>
      </c>
      <c r="H6" s="45">
        <f t="shared" ref="H6:H16" si="0">SUM(D6:G6)</f>
        <v>267167.55132899998</v>
      </c>
    </row>
    <row r="7" spans="2:8" s="42" customFormat="1" ht="14.25" customHeight="1">
      <c r="B7" s="43">
        <v>41609</v>
      </c>
      <c r="C7" s="43">
        <v>41640</v>
      </c>
      <c r="D7" s="44">
        <f>'LT COMODORO'!J10</f>
        <v>208994.05544499998</v>
      </c>
      <c r="E7" s="44">
        <v>0</v>
      </c>
      <c r="F7" s="44">
        <v>0</v>
      </c>
      <c r="G7" s="44">
        <v>0</v>
      </c>
      <c r="H7" s="45">
        <f t="shared" si="0"/>
        <v>208994.05544499998</v>
      </c>
    </row>
    <row r="8" spans="2:8" s="42" customFormat="1" ht="14.25" customHeight="1">
      <c r="B8" s="43">
        <v>41640</v>
      </c>
      <c r="C8" s="43">
        <v>41671</v>
      </c>
      <c r="D8" s="44">
        <f>'LT COMODORO'!J11</f>
        <v>133387.082857</v>
      </c>
      <c r="E8" s="44">
        <v>0</v>
      </c>
      <c r="F8" s="44">
        <v>0</v>
      </c>
      <c r="G8" s="44">
        <v>0</v>
      </c>
      <c r="H8" s="45">
        <f t="shared" si="0"/>
        <v>133387.082857</v>
      </c>
    </row>
    <row r="9" spans="2:8" s="42" customFormat="1" ht="14.25" customHeight="1">
      <c r="B9" s="43">
        <v>41671</v>
      </c>
      <c r="C9" s="43">
        <v>41699</v>
      </c>
      <c r="D9" s="44">
        <f>'LT COMODORO'!J12</f>
        <v>52592.383871999991</v>
      </c>
      <c r="E9" s="44">
        <v>0</v>
      </c>
      <c r="F9" s="44">
        <v>0</v>
      </c>
      <c r="G9" s="44">
        <v>0</v>
      </c>
      <c r="H9" s="45">
        <f t="shared" si="0"/>
        <v>52592.383871999991</v>
      </c>
    </row>
    <row r="10" spans="2:8" s="42" customFormat="1" ht="14.25" customHeight="1">
      <c r="B10" s="43">
        <v>41699</v>
      </c>
      <c r="C10" s="43">
        <v>41730</v>
      </c>
      <c r="D10" s="44">
        <f>'LT COMODORO'!J13</f>
        <v>108365.870263</v>
      </c>
      <c r="E10" s="44">
        <v>0</v>
      </c>
      <c r="F10" s="44">
        <v>0</v>
      </c>
      <c r="G10" s="44">
        <v>0</v>
      </c>
      <c r="H10" s="45">
        <f t="shared" si="0"/>
        <v>108365.870263</v>
      </c>
    </row>
    <row r="11" spans="2:8" s="42" customFormat="1" ht="14.25" customHeight="1">
      <c r="B11" s="43">
        <v>41730</v>
      </c>
      <c r="C11" s="43">
        <v>41760</v>
      </c>
      <c r="D11" s="44">
        <f>'LT COMODORO'!J14</f>
        <v>150114.719083</v>
      </c>
      <c r="E11" s="44">
        <v>0</v>
      </c>
      <c r="F11" s="44">
        <v>0</v>
      </c>
      <c r="G11" s="44">
        <v>0</v>
      </c>
      <c r="H11" s="45">
        <f t="shared" si="0"/>
        <v>150114.719083</v>
      </c>
    </row>
    <row r="12" spans="2:8" s="42" customFormat="1" ht="14.25" customHeight="1">
      <c r="B12" s="43">
        <v>41760</v>
      </c>
      <c r="C12" s="43">
        <v>41791</v>
      </c>
      <c r="D12" s="44">
        <f>'LT COMODORO'!J15</f>
        <v>135388.87480299998</v>
      </c>
      <c r="E12" s="44">
        <v>0</v>
      </c>
      <c r="F12" s="44">
        <v>0</v>
      </c>
      <c r="G12" s="44">
        <v>0</v>
      </c>
      <c r="H12" s="45">
        <f t="shared" si="0"/>
        <v>135388.87480299998</v>
      </c>
    </row>
    <row r="13" spans="2:8" s="42" customFormat="1" ht="14.25" customHeight="1">
      <c r="B13" s="43">
        <v>41791</v>
      </c>
      <c r="C13" s="43">
        <v>41821</v>
      </c>
      <c r="D13" s="44">
        <f>'LT COMODORO'!J16</f>
        <v>159028.30986699997</v>
      </c>
      <c r="E13" s="44">
        <v>0</v>
      </c>
      <c r="F13" s="44">
        <v>0</v>
      </c>
      <c r="G13" s="44">
        <v>0</v>
      </c>
      <c r="H13" s="45">
        <f t="shared" si="0"/>
        <v>159028.30986699997</v>
      </c>
    </row>
    <row r="14" spans="2:8" s="42" customFormat="1" ht="14.25" customHeight="1">
      <c r="B14" s="43">
        <v>41821</v>
      </c>
      <c r="C14" s="43">
        <v>41852</v>
      </c>
      <c r="D14" s="44">
        <f>'LT COMODORO'!J17</f>
        <v>203464.43871599998</v>
      </c>
      <c r="E14" s="44">
        <v>0</v>
      </c>
      <c r="F14" s="44">
        <v>0</v>
      </c>
      <c r="G14" s="44">
        <v>0</v>
      </c>
      <c r="H14" s="45">
        <f t="shared" si="0"/>
        <v>203464.43871599998</v>
      </c>
    </row>
    <row r="15" spans="2:8" s="42" customFormat="1" ht="14.25" customHeight="1">
      <c r="B15" s="43">
        <v>41852</v>
      </c>
      <c r="C15" s="43">
        <v>41883</v>
      </c>
      <c r="D15" s="44">
        <f>'LT COMODORO'!J18</f>
        <v>290034.44715699996</v>
      </c>
      <c r="E15" s="44">
        <v>0</v>
      </c>
      <c r="F15" s="44">
        <v>0</v>
      </c>
      <c r="G15" s="44">
        <v>0</v>
      </c>
      <c r="H15" s="45">
        <f t="shared" si="0"/>
        <v>290034.44715699996</v>
      </c>
    </row>
    <row r="16" spans="2:8" s="42" customFormat="1" ht="14.25" customHeight="1">
      <c r="B16" s="43">
        <v>41883</v>
      </c>
      <c r="C16" s="43">
        <v>41913</v>
      </c>
      <c r="D16" s="44">
        <f>'LT COMODORO'!J19</f>
        <v>324544.86015700002</v>
      </c>
      <c r="E16" s="44">
        <v>0</v>
      </c>
      <c r="F16" s="44">
        <v>0</v>
      </c>
      <c r="G16" s="44">
        <v>0</v>
      </c>
      <c r="H16" s="45">
        <f t="shared" si="0"/>
        <v>324544.86015700002</v>
      </c>
    </row>
    <row r="17" spans="2:8" s="42" customFormat="1" ht="14.25" customHeight="1">
      <c r="B17" s="43">
        <v>41913</v>
      </c>
      <c r="C17" s="43">
        <v>41944</v>
      </c>
      <c r="D17" s="44">
        <f>'LT COMODORO'!J20</f>
        <v>340895.23925099999</v>
      </c>
      <c r="E17" s="44">
        <v>0</v>
      </c>
      <c r="F17" s="44">
        <v>0</v>
      </c>
      <c r="G17" s="44">
        <v>0</v>
      </c>
      <c r="H17" s="45">
        <f t="shared" ref="H17:H49" si="1">SUM(D17:G17)</f>
        <v>340895.23925099999</v>
      </c>
    </row>
    <row r="18" spans="2:8" s="42" customFormat="1" ht="14.25" customHeight="1">
      <c r="B18" s="43">
        <v>41944</v>
      </c>
      <c r="C18" s="43">
        <v>41974</v>
      </c>
      <c r="D18" s="44">
        <f>'LT COMODORO'!J21</f>
        <v>241513.88400300001</v>
      </c>
      <c r="E18" s="44">
        <v>0</v>
      </c>
      <c r="F18" s="44">
        <v>0</v>
      </c>
      <c r="G18" s="44">
        <v>0</v>
      </c>
      <c r="H18" s="45">
        <f t="shared" si="1"/>
        <v>241513.88400300001</v>
      </c>
    </row>
    <row r="19" spans="2:8" s="42" customFormat="1" ht="14.25" customHeight="1">
      <c r="B19" s="43">
        <v>41974</v>
      </c>
      <c r="C19" s="43">
        <v>42005</v>
      </c>
      <c r="D19" s="44">
        <f>'LT COMODORO'!J22</f>
        <v>210708.14901499994</v>
      </c>
      <c r="E19" s="44">
        <v>0</v>
      </c>
      <c r="F19" s="44">
        <v>0</v>
      </c>
      <c r="G19" s="44">
        <v>0</v>
      </c>
      <c r="H19" s="45">
        <f t="shared" si="1"/>
        <v>210708.14901499994</v>
      </c>
    </row>
    <row r="20" spans="2:8" s="42" customFormat="1" ht="14.25" customHeight="1">
      <c r="B20" s="43">
        <v>42005</v>
      </c>
      <c r="C20" s="43">
        <v>42036</v>
      </c>
      <c r="D20" s="44">
        <f>'LT COMODORO'!J23</f>
        <v>140845.46639000002</v>
      </c>
      <c r="E20" s="44">
        <v>0</v>
      </c>
      <c r="F20" s="44">
        <v>0</v>
      </c>
      <c r="G20" s="44">
        <v>0</v>
      </c>
      <c r="H20" s="45">
        <f t="shared" si="1"/>
        <v>140845.46639000002</v>
      </c>
    </row>
    <row r="21" spans="2:8" s="42" customFormat="1" ht="14.25" customHeight="1">
      <c r="B21" s="43">
        <v>42036</v>
      </c>
      <c r="C21" s="43">
        <v>42064</v>
      </c>
      <c r="D21" s="44">
        <f>'LT COMODORO'!J24</f>
        <v>142309.56684499999</v>
      </c>
      <c r="E21" s="44">
        <v>0</v>
      </c>
      <c r="F21" s="44">
        <v>0</v>
      </c>
      <c r="G21" s="44">
        <v>0</v>
      </c>
      <c r="H21" s="45">
        <f t="shared" si="1"/>
        <v>142309.56684499999</v>
      </c>
    </row>
    <row r="22" spans="2:8" s="42" customFormat="1" ht="14.25" customHeight="1">
      <c r="B22" s="43">
        <v>42064</v>
      </c>
      <c r="C22" s="43">
        <v>42095</v>
      </c>
      <c r="D22" s="44">
        <f>'LT COMODORO'!J25</f>
        <v>160124.57902999999</v>
      </c>
      <c r="E22" s="44">
        <v>0</v>
      </c>
      <c r="F22" s="44">
        <v>0</v>
      </c>
      <c r="G22" s="44">
        <v>0</v>
      </c>
      <c r="H22" s="45">
        <f t="shared" si="1"/>
        <v>160124.57902999999</v>
      </c>
    </row>
    <row r="23" spans="2:8" s="42" customFormat="1" ht="14.25" customHeight="1">
      <c r="B23" s="43">
        <v>42095</v>
      </c>
      <c r="C23" s="43">
        <v>42125</v>
      </c>
      <c r="D23" s="44">
        <f>'LT COMODORO'!J26</f>
        <v>130200.97304500001</v>
      </c>
      <c r="E23" s="44">
        <v>0</v>
      </c>
      <c r="F23" s="44">
        <v>0</v>
      </c>
      <c r="G23" s="44">
        <v>0</v>
      </c>
      <c r="H23" s="45">
        <f t="shared" si="1"/>
        <v>130200.97304500001</v>
      </c>
    </row>
    <row r="24" spans="2:8" s="42" customFormat="1" ht="14.25" customHeight="1">
      <c r="B24" s="43">
        <v>42125</v>
      </c>
      <c r="C24" s="43">
        <v>42156</v>
      </c>
      <c r="D24" s="44">
        <f>'LT COMODORO'!J27</f>
        <v>136626.59464</v>
      </c>
      <c r="E24" s="44">
        <v>0</v>
      </c>
      <c r="F24" s="44">
        <v>0</v>
      </c>
      <c r="G24" s="44">
        <v>0</v>
      </c>
      <c r="H24" s="45">
        <f t="shared" si="1"/>
        <v>136626.59464</v>
      </c>
    </row>
    <row r="25" spans="2:8" s="42" customFormat="1" ht="14.25" customHeight="1">
      <c r="B25" s="43">
        <v>42156</v>
      </c>
      <c r="C25" s="43">
        <v>42186</v>
      </c>
      <c r="D25" s="44">
        <f>'LT COMODORO'!J28</f>
        <v>145247.68410000001</v>
      </c>
      <c r="E25" s="44">
        <v>0</v>
      </c>
      <c r="F25" s="44">
        <v>0</v>
      </c>
      <c r="G25" s="44">
        <v>0</v>
      </c>
      <c r="H25" s="45">
        <f t="shared" si="1"/>
        <v>145247.68410000001</v>
      </c>
    </row>
    <row r="26" spans="2:8" s="42" customFormat="1" ht="14.25" customHeight="1">
      <c r="B26" s="43">
        <v>42186</v>
      </c>
      <c r="C26" s="43">
        <v>42217</v>
      </c>
      <c r="D26" s="44">
        <f>'LT COMODORO'!J29</f>
        <v>139352.890105</v>
      </c>
      <c r="E26" s="44">
        <v>0</v>
      </c>
      <c r="F26" s="44">
        <v>0</v>
      </c>
      <c r="G26" s="44">
        <v>0</v>
      </c>
      <c r="H26" s="45">
        <f t="shared" si="1"/>
        <v>139352.890105</v>
      </c>
    </row>
    <row r="27" spans="2:8" s="42" customFormat="1" ht="14.25" customHeight="1">
      <c r="B27" s="43">
        <v>42217</v>
      </c>
      <c r="C27" s="43">
        <v>42248</v>
      </c>
      <c r="D27" s="44">
        <f>'LT COMODORO'!J30</f>
        <v>236214.95474500002</v>
      </c>
      <c r="E27" s="44">
        <v>0</v>
      </c>
      <c r="F27" s="44">
        <v>0</v>
      </c>
      <c r="G27" s="44">
        <v>0</v>
      </c>
      <c r="H27" s="45">
        <f t="shared" si="1"/>
        <v>236214.95474500002</v>
      </c>
    </row>
    <row r="28" spans="2:8" s="42" customFormat="1" ht="14.25" customHeight="1">
      <c r="B28" s="43">
        <v>42248</v>
      </c>
      <c r="C28" s="43">
        <v>42278</v>
      </c>
      <c r="D28" s="44">
        <f>'LT COMODORO'!J31</f>
        <v>269304.20859999995</v>
      </c>
      <c r="E28" s="44">
        <v>0</v>
      </c>
      <c r="F28" s="44">
        <v>0</v>
      </c>
      <c r="G28" s="44">
        <v>0</v>
      </c>
      <c r="H28" s="45">
        <f t="shared" si="1"/>
        <v>269304.20859999995</v>
      </c>
    </row>
    <row r="29" spans="2:8" s="42" customFormat="1" ht="14.25" customHeight="1">
      <c r="B29" s="43">
        <v>42278</v>
      </c>
      <c r="C29" s="43">
        <v>42309</v>
      </c>
      <c r="D29" s="44">
        <f>'LT COMODORO'!J32</f>
        <v>236649.03450500002</v>
      </c>
      <c r="E29" s="44">
        <v>0</v>
      </c>
      <c r="F29" s="44">
        <v>0</v>
      </c>
      <c r="G29" s="44">
        <v>0</v>
      </c>
      <c r="H29" s="45">
        <f t="shared" si="1"/>
        <v>236649.03450500002</v>
      </c>
    </row>
    <row r="30" spans="2:8" s="42" customFormat="1" ht="14.25" customHeight="1">
      <c r="B30" s="43">
        <v>42309</v>
      </c>
      <c r="C30" s="43">
        <v>42339</v>
      </c>
      <c r="D30" s="44">
        <f>'LT COMODORO'!J33</f>
        <v>202089.14225499998</v>
      </c>
      <c r="E30" s="44">
        <v>0</v>
      </c>
      <c r="F30" s="44">
        <v>0</v>
      </c>
      <c r="G30" s="44">
        <v>0</v>
      </c>
      <c r="H30" s="45">
        <f t="shared" si="1"/>
        <v>202089.14225499998</v>
      </c>
    </row>
    <row r="31" spans="2:8" s="42" customFormat="1" ht="14.25" customHeight="1">
      <c r="B31" s="43">
        <v>42339</v>
      </c>
      <c r="C31" s="43">
        <v>42370</v>
      </c>
      <c r="D31" s="44">
        <f>'LT COMODORO'!J34</f>
        <v>225005.10533500006</v>
      </c>
      <c r="E31" s="44">
        <v>0</v>
      </c>
      <c r="F31" s="44">
        <v>0</v>
      </c>
      <c r="G31" s="44">
        <v>0</v>
      </c>
      <c r="H31" s="45">
        <f t="shared" si="1"/>
        <v>225005.10533500006</v>
      </c>
    </row>
    <row r="32" spans="2:8" s="42" customFormat="1" ht="14.25" customHeight="1">
      <c r="B32" s="43">
        <v>42370</v>
      </c>
      <c r="C32" s="43">
        <v>42401</v>
      </c>
      <c r="D32" s="44">
        <f>'LT COMODORO'!J35</f>
        <v>185338.90552999999</v>
      </c>
      <c r="E32" s="44">
        <v>0</v>
      </c>
      <c r="F32" s="44">
        <v>0</v>
      </c>
      <c r="G32" s="44">
        <v>0</v>
      </c>
      <c r="H32" s="45">
        <f t="shared" si="1"/>
        <v>185338.90552999999</v>
      </c>
    </row>
    <row r="33" spans="2:8" s="42" customFormat="1" ht="14.25" customHeight="1">
      <c r="B33" s="43">
        <v>42401</v>
      </c>
      <c r="C33" s="43">
        <v>42430</v>
      </c>
      <c r="D33" s="44">
        <f>'LT COMODORO'!J36</f>
        <v>203929.60153500002</v>
      </c>
      <c r="E33" s="44">
        <v>0</v>
      </c>
      <c r="F33" s="44">
        <v>0</v>
      </c>
      <c r="G33" s="44">
        <v>0</v>
      </c>
      <c r="H33" s="45">
        <f t="shared" si="1"/>
        <v>203929.60153500002</v>
      </c>
    </row>
    <row r="34" spans="2:8" s="42" customFormat="1" ht="14.25" customHeight="1">
      <c r="B34" s="43">
        <v>42430</v>
      </c>
      <c r="C34" s="43">
        <v>42461</v>
      </c>
      <c r="D34" s="44">
        <f>'LT COMODORO'!J37</f>
        <v>219510.13097500001</v>
      </c>
      <c r="E34" s="44">
        <v>0</v>
      </c>
      <c r="F34" s="44">
        <v>0</v>
      </c>
      <c r="G34" s="44">
        <v>0</v>
      </c>
      <c r="H34" s="45">
        <f t="shared" si="1"/>
        <v>219510.13097500001</v>
      </c>
    </row>
    <row r="35" spans="2:8" s="42" customFormat="1" ht="14.25" customHeight="1">
      <c r="B35" s="43">
        <v>42461</v>
      </c>
      <c r="C35" s="43">
        <v>42491</v>
      </c>
      <c r="D35" s="44">
        <f>'LT COMODORO'!J38</f>
        <v>198691.96737500001</v>
      </c>
      <c r="E35" s="44">
        <v>0</v>
      </c>
      <c r="F35" s="44">
        <v>0</v>
      </c>
      <c r="G35" s="44">
        <v>0</v>
      </c>
      <c r="H35" s="45">
        <f t="shared" si="1"/>
        <v>198691.96737500001</v>
      </c>
    </row>
    <row r="36" spans="2:8" s="42" customFormat="1" ht="14.25" customHeight="1">
      <c r="B36" s="43">
        <v>42491</v>
      </c>
      <c r="C36" s="43">
        <v>42522</v>
      </c>
      <c r="D36" s="44">
        <f>'LT COMODORO'!J39</f>
        <v>182368.67859499998</v>
      </c>
      <c r="E36" s="44">
        <v>0</v>
      </c>
      <c r="F36" s="44">
        <v>0</v>
      </c>
      <c r="G36" s="44">
        <v>0</v>
      </c>
      <c r="H36" s="45">
        <f t="shared" si="1"/>
        <v>182368.67859499998</v>
      </c>
    </row>
    <row r="37" spans="2:8" s="42" customFormat="1" ht="14.25" customHeight="1">
      <c r="B37" s="43">
        <v>42522</v>
      </c>
      <c r="C37" s="43">
        <v>42552</v>
      </c>
      <c r="D37" s="44">
        <f>'LT COMODORO'!J40</f>
        <v>199780.871655</v>
      </c>
      <c r="E37" s="44">
        <v>0</v>
      </c>
      <c r="F37" s="44">
        <v>0</v>
      </c>
      <c r="G37" s="44">
        <v>0</v>
      </c>
      <c r="H37" s="45">
        <f t="shared" si="1"/>
        <v>199780.871655</v>
      </c>
    </row>
    <row r="38" spans="2:8" s="42" customFormat="1" ht="14.25" customHeight="1">
      <c r="B38" s="43">
        <v>42552</v>
      </c>
      <c r="C38" s="43">
        <v>42583</v>
      </c>
      <c r="D38" s="44">
        <f>'LT COMODORO'!J41</f>
        <v>274780.75457999995</v>
      </c>
      <c r="E38" s="44">
        <v>0</v>
      </c>
      <c r="F38" s="44">
        <v>0</v>
      </c>
      <c r="G38" s="44">
        <v>0</v>
      </c>
      <c r="H38" s="45">
        <f t="shared" si="1"/>
        <v>274780.75457999995</v>
      </c>
    </row>
    <row r="39" spans="2:8" s="42" customFormat="1" ht="14.25" customHeight="1">
      <c r="B39" s="43">
        <v>42583</v>
      </c>
      <c r="C39" s="43">
        <v>42614</v>
      </c>
      <c r="D39" s="44">
        <f>'LT COMODORO'!J42</f>
        <v>306238.89326000004</v>
      </c>
      <c r="E39" s="44">
        <v>0</v>
      </c>
      <c r="F39" s="44">
        <v>0</v>
      </c>
      <c r="G39" s="44">
        <v>0</v>
      </c>
      <c r="H39" s="45">
        <f t="shared" si="1"/>
        <v>306238.89326000004</v>
      </c>
    </row>
    <row r="40" spans="2:8" s="42" customFormat="1" ht="14.25" customHeight="1">
      <c r="B40" s="43">
        <v>42614</v>
      </c>
      <c r="C40" s="43">
        <v>42644</v>
      </c>
      <c r="D40" s="44">
        <f>'LT COMODORO'!J43</f>
        <v>279003.697805</v>
      </c>
      <c r="E40" s="44">
        <v>0</v>
      </c>
      <c r="F40" s="44">
        <v>0</v>
      </c>
      <c r="G40" s="44">
        <v>0</v>
      </c>
      <c r="H40" s="45">
        <f t="shared" si="1"/>
        <v>279003.697805</v>
      </c>
    </row>
    <row r="41" spans="2:8" s="42" customFormat="1" ht="14.25" customHeight="1">
      <c r="B41" s="43">
        <v>42644</v>
      </c>
      <c r="C41" s="43">
        <v>42675</v>
      </c>
      <c r="D41" s="44">
        <f>'LT COMODORO'!J44</f>
        <v>322202.09088999999</v>
      </c>
      <c r="E41" s="44">
        <v>0</v>
      </c>
      <c r="F41" s="44">
        <v>0</v>
      </c>
      <c r="G41" s="44">
        <v>0</v>
      </c>
      <c r="H41" s="45">
        <f t="shared" si="1"/>
        <v>322202.09088999999</v>
      </c>
    </row>
    <row r="42" spans="2:8" s="42" customFormat="1" ht="14.25" customHeight="1">
      <c r="B42" s="43">
        <v>42675</v>
      </c>
      <c r="C42" s="43">
        <v>42705</v>
      </c>
      <c r="D42" s="44">
        <f>'LT COMODORO'!J45</f>
        <v>266203.44873499998</v>
      </c>
      <c r="E42" s="44">
        <v>0</v>
      </c>
      <c r="F42" s="44">
        <v>0</v>
      </c>
      <c r="G42" s="44">
        <v>0</v>
      </c>
      <c r="H42" s="45">
        <f t="shared" si="1"/>
        <v>266203.44873499998</v>
      </c>
    </row>
    <row r="43" spans="2:8" s="42" customFormat="1" ht="14.25" customHeight="1">
      <c r="B43" s="43">
        <v>42705</v>
      </c>
      <c r="C43" s="43">
        <v>42736</v>
      </c>
      <c r="D43" s="44">
        <f>'LT COMODORO'!J46</f>
        <v>183659.43989000004</v>
      </c>
      <c r="E43" s="44">
        <f>RONDOLÂNDIA!I9</f>
        <v>87379.375135228751</v>
      </c>
      <c r="F43" s="44">
        <v>0</v>
      </c>
      <c r="G43" s="44">
        <v>0</v>
      </c>
      <c r="H43" s="45">
        <f t="shared" si="1"/>
        <v>271038.81502522877</v>
      </c>
    </row>
    <row r="44" spans="2:8" s="42" customFormat="1" ht="14.25" customHeight="1">
      <c r="B44" s="43">
        <v>42736</v>
      </c>
      <c r="C44" s="43">
        <v>42767</v>
      </c>
      <c r="D44" s="44">
        <f>'LT COMODORO'!J47</f>
        <v>144808.58162499999</v>
      </c>
      <c r="E44" s="44">
        <f>RONDOLÂNDIA!I10</f>
        <v>133209.93820823552</v>
      </c>
      <c r="F44" s="44">
        <v>0</v>
      </c>
      <c r="G44" s="44">
        <v>0</v>
      </c>
      <c r="H44" s="45">
        <f t="shared" si="1"/>
        <v>278018.51983323554</v>
      </c>
    </row>
    <row r="45" spans="2:8" s="42" customFormat="1" ht="14.25" customHeight="1">
      <c r="B45" s="43">
        <v>42767</v>
      </c>
      <c r="C45" s="43">
        <v>42795</v>
      </c>
      <c r="D45" s="44">
        <f>'LT COMODORO'!J48</f>
        <v>220021.84899500001</v>
      </c>
      <c r="E45" s="44">
        <f>RONDOLÂNDIA!I11</f>
        <v>117651.23703776125</v>
      </c>
      <c r="F45" s="44">
        <v>0</v>
      </c>
      <c r="G45" s="44">
        <v>0</v>
      </c>
      <c r="H45" s="45">
        <f t="shared" si="1"/>
        <v>337673.08603276126</v>
      </c>
    </row>
    <row r="46" spans="2:8" s="42" customFormat="1" ht="14.25" customHeight="1">
      <c r="B46" s="43">
        <v>42795</v>
      </c>
      <c r="C46" s="43">
        <v>42826</v>
      </c>
      <c r="D46" s="44">
        <f>'LT COMODORO'!J49</f>
        <v>169781.31208</v>
      </c>
      <c r="E46" s="44">
        <f>RONDOLÂNDIA!I12</f>
        <v>140277.75973350002</v>
      </c>
      <c r="F46" s="44">
        <v>0</v>
      </c>
      <c r="G46" s="44">
        <v>0</v>
      </c>
      <c r="H46" s="45">
        <f t="shared" si="1"/>
        <v>310059.07181350002</v>
      </c>
    </row>
    <row r="47" spans="2:8" s="42" customFormat="1" ht="14.25" customHeight="1">
      <c r="B47" s="43">
        <v>42826</v>
      </c>
      <c r="C47" s="43">
        <v>42856</v>
      </c>
      <c r="D47" s="44">
        <f>'LT COMODORO'!J50</f>
        <v>105160.99115000002</v>
      </c>
      <c r="E47" s="44">
        <f>RONDOLÂNDIA!I13</f>
        <v>135198.30133963251</v>
      </c>
      <c r="F47" s="44">
        <v>0</v>
      </c>
      <c r="G47" s="44">
        <v>0</v>
      </c>
      <c r="H47" s="45">
        <f t="shared" si="1"/>
        <v>240359.29248963253</v>
      </c>
    </row>
    <row r="48" spans="2:8" s="42" customFormat="1" ht="14.25" customHeight="1">
      <c r="B48" s="43">
        <v>42856</v>
      </c>
      <c r="C48" s="43">
        <v>42887</v>
      </c>
      <c r="D48" s="44">
        <f>'LT COMODORO'!J51</f>
        <v>199430.5019</v>
      </c>
      <c r="E48" s="44">
        <f>RONDOLÂNDIA!I14</f>
        <v>148452.9608754995</v>
      </c>
      <c r="F48" s="44">
        <v>0</v>
      </c>
      <c r="G48" s="44">
        <v>0</v>
      </c>
      <c r="H48" s="45">
        <f t="shared" si="1"/>
        <v>347883.4627754995</v>
      </c>
    </row>
    <row r="49" spans="2:8" s="42" customFormat="1" ht="14.25" customHeight="1">
      <c r="B49" s="43">
        <v>42887</v>
      </c>
      <c r="C49" s="43">
        <v>42917</v>
      </c>
      <c r="D49" s="44">
        <f>'LT COMODORO'!J52</f>
        <v>216753.74015000003</v>
      </c>
      <c r="E49" s="44">
        <f>RONDOLÂNDIA!I15</f>
        <v>130305.716108833</v>
      </c>
      <c r="F49" s="44">
        <v>0</v>
      </c>
      <c r="G49" s="44">
        <v>0</v>
      </c>
      <c r="H49" s="45">
        <f t="shared" si="1"/>
        <v>347059.45625883306</v>
      </c>
    </row>
    <row r="50" spans="2:8" s="42" customFormat="1" ht="14.25" customHeight="1">
      <c r="B50" s="43">
        <v>42917</v>
      </c>
      <c r="C50" s="43">
        <v>42948</v>
      </c>
      <c r="D50" s="44">
        <f>'LT COMODORO'!J53</f>
        <v>241944.66199999998</v>
      </c>
      <c r="E50" s="44">
        <f>RONDOLÂNDIA!I16</f>
        <v>135642.68921375202</v>
      </c>
      <c r="F50" s="44">
        <v>0</v>
      </c>
      <c r="G50" s="44">
        <v>0</v>
      </c>
      <c r="H50" s="45">
        <f t="shared" ref="H50:H91" si="2">SUM(D50:G50)</f>
        <v>377587.351213752</v>
      </c>
    </row>
    <row r="51" spans="2:8" s="42" customFormat="1" ht="14.25" customHeight="1">
      <c r="B51" s="43">
        <v>42948</v>
      </c>
      <c r="C51" s="43">
        <v>42979</v>
      </c>
      <c r="D51" s="44">
        <f>'LT COMODORO'!J54</f>
        <v>316269.76037499995</v>
      </c>
      <c r="E51" s="44">
        <f>RONDOLÂNDIA!I17</f>
        <v>158307.60194340374</v>
      </c>
      <c r="F51" s="44">
        <f>PARANORTE!I9</f>
        <v>19228.953665117919</v>
      </c>
      <c r="G51" s="44">
        <v>0</v>
      </c>
      <c r="H51" s="45">
        <f t="shared" si="2"/>
        <v>493806.31598352158</v>
      </c>
    </row>
    <row r="52" spans="2:8" s="42" customFormat="1" ht="14.25" customHeight="1">
      <c r="B52" s="43">
        <v>42979</v>
      </c>
      <c r="C52" s="43">
        <v>43009</v>
      </c>
      <c r="D52" s="44">
        <f>'LT COMODORO'!J55</f>
        <v>375442.56310000003</v>
      </c>
      <c r="E52" s="44">
        <f>RONDOLÂNDIA!I18</f>
        <v>159413.37524584253</v>
      </c>
      <c r="F52" s="44">
        <f>PARANORTE!I10</f>
        <v>58395.387014388943</v>
      </c>
      <c r="G52" s="44">
        <v>0</v>
      </c>
      <c r="H52" s="45">
        <f t="shared" si="2"/>
        <v>593251.32536023145</v>
      </c>
    </row>
    <row r="53" spans="2:8" s="42" customFormat="1" ht="14.25" customHeight="1">
      <c r="B53" s="43">
        <v>43009</v>
      </c>
      <c r="C53" s="43">
        <v>43040</v>
      </c>
      <c r="D53" s="44">
        <f>'LT COMODORO'!J56</f>
        <v>308121.75823000004</v>
      </c>
      <c r="E53" s="44">
        <f>RONDOLÂNDIA!I19</f>
        <v>151279.68021193726</v>
      </c>
      <c r="F53" s="44">
        <f>PARANORTE!I11</f>
        <v>59137.369707590304</v>
      </c>
      <c r="G53" s="44">
        <v>0</v>
      </c>
      <c r="H53" s="45">
        <f t="shared" si="2"/>
        <v>518538.80814952764</v>
      </c>
    </row>
    <row r="54" spans="2:8" s="42" customFormat="1" ht="14.25" customHeight="1">
      <c r="B54" s="43">
        <v>43040</v>
      </c>
      <c r="C54" s="43">
        <v>43070</v>
      </c>
      <c r="D54" s="44">
        <f>'LT COMODORO'!J57</f>
        <v>264236.21294</v>
      </c>
      <c r="E54" s="44">
        <f>RONDOLÂNDIA!I20</f>
        <v>145572.69831436503</v>
      </c>
      <c r="F54" s="44">
        <f>PARANORTE!I12</f>
        <v>52672.676860643209</v>
      </c>
      <c r="G54" s="44">
        <v>0</v>
      </c>
      <c r="H54" s="45">
        <f t="shared" si="2"/>
        <v>462481.5881150082</v>
      </c>
    </row>
    <row r="55" spans="2:8" s="42" customFormat="1" ht="14.25" customHeight="1">
      <c r="B55" s="43">
        <v>43070</v>
      </c>
      <c r="C55" s="43">
        <v>43101</v>
      </c>
      <c r="D55" s="44">
        <f>'LT COMODORO'!J58</f>
        <v>250049.65411999999</v>
      </c>
      <c r="E55" s="44">
        <f>RONDOLÂNDIA!I21</f>
        <v>143750.03659695102</v>
      </c>
      <c r="F55" s="44">
        <f>PARANORTE!I13</f>
        <v>49561.745786966247</v>
      </c>
      <c r="G55" s="44">
        <v>0</v>
      </c>
      <c r="H55" s="45">
        <f t="shared" si="2"/>
        <v>443361.43650391727</v>
      </c>
    </row>
    <row r="56" spans="2:8" s="42" customFormat="1" ht="14.25" customHeight="1">
      <c r="B56" s="43">
        <v>43101</v>
      </c>
      <c r="C56" s="43">
        <v>43132</v>
      </c>
      <c r="D56" s="44">
        <f>'LT COMODORO'!J59</f>
        <v>174474.330005</v>
      </c>
      <c r="E56" s="44">
        <f>RONDOLÂNDIA!I22</f>
        <v>146748.07564375002</v>
      </c>
      <c r="F56" s="44">
        <f>PARANORTE!I14</f>
        <v>49145.695854996615</v>
      </c>
      <c r="G56" s="44">
        <v>0</v>
      </c>
      <c r="H56" s="45">
        <f t="shared" si="2"/>
        <v>370368.10150374664</v>
      </c>
    </row>
    <row r="57" spans="2:8" s="42" customFormat="1" ht="14.25" customHeight="1">
      <c r="B57" s="43">
        <v>43132</v>
      </c>
      <c r="C57" s="43">
        <v>43160</v>
      </c>
      <c r="D57" s="44">
        <f>'LT COMODORO'!J60</f>
        <v>205132.25920500001</v>
      </c>
      <c r="E57" s="44">
        <f>RONDOLÂNDIA!I23</f>
        <v>132386.63103225001</v>
      </c>
      <c r="F57" s="44">
        <f>PARANORTE!I15</f>
        <v>42992.365927305662</v>
      </c>
      <c r="G57" s="44">
        <v>0</v>
      </c>
      <c r="H57" s="45">
        <f t="shared" si="2"/>
        <v>380511.25616455567</v>
      </c>
    </row>
    <row r="58" spans="2:8" s="42" customFormat="1" ht="14.25" customHeight="1">
      <c r="B58" s="43">
        <v>43160</v>
      </c>
      <c r="C58" s="43">
        <v>43191</v>
      </c>
      <c r="D58" s="44">
        <f>'LT COMODORO'!J61</f>
        <v>257958.77419999999</v>
      </c>
      <c r="E58" s="44">
        <f>RONDOLÂNDIA!I24</f>
        <v>152896.20586864976</v>
      </c>
      <c r="F58" s="44">
        <f>PARANORTE!I16</f>
        <v>49227.17904530454</v>
      </c>
      <c r="G58" s="44">
        <v>0</v>
      </c>
      <c r="H58" s="45">
        <f t="shared" si="2"/>
        <v>460082.15911395429</v>
      </c>
    </row>
    <row r="59" spans="2:8" s="42" customFormat="1" ht="14.25" customHeight="1">
      <c r="B59" s="43">
        <v>43191</v>
      </c>
      <c r="C59" s="43">
        <v>43221</v>
      </c>
      <c r="D59" s="44">
        <f>'LT COMODORO'!J62</f>
        <v>142808.73282500001</v>
      </c>
      <c r="E59" s="44">
        <f>RONDOLÂNDIA!I25</f>
        <v>147188.71486599999</v>
      </c>
      <c r="F59" s="44">
        <f>PARANORTE!I17</f>
        <v>48529.985125583713</v>
      </c>
      <c r="G59" s="44">
        <v>0</v>
      </c>
      <c r="H59" s="45">
        <f t="shared" si="2"/>
        <v>338527.43281658372</v>
      </c>
    </row>
    <row r="60" spans="2:8" s="42" customFormat="1" ht="14.25" customHeight="1">
      <c r="B60" s="43">
        <v>43221</v>
      </c>
      <c r="C60" s="43">
        <v>43252</v>
      </c>
      <c r="D60" s="44">
        <f>'LT COMODORO'!J63</f>
        <v>142494.03287</v>
      </c>
      <c r="E60" s="44">
        <f>RONDOLÂNDIA!I26</f>
        <v>152019.65390887501</v>
      </c>
      <c r="F60" s="44">
        <f>PARANORTE!I18</f>
        <v>50523.355357355205</v>
      </c>
      <c r="G60" s="44">
        <v>0</v>
      </c>
      <c r="H60" s="45">
        <f t="shared" si="2"/>
        <v>345037.04213623021</v>
      </c>
    </row>
    <row r="61" spans="2:8" s="42" customFormat="1" ht="14.25" customHeight="1">
      <c r="B61" s="43">
        <v>43252</v>
      </c>
      <c r="C61" s="43">
        <v>43282</v>
      </c>
      <c r="D61" s="44">
        <f>'LT COMODORO'!J64</f>
        <v>136674.39439</v>
      </c>
      <c r="E61" s="44">
        <f>RONDOLÂNDIA!I27</f>
        <v>132596.71002400003</v>
      </c>
      <c r="F61" s="44">
        <f>PARANORTE!I19</f>
        <v>46287.848332673428</v>
      </c>
      <c r="G61" s="44">
        <v>0</v>
      </c>
      <c r="H61" s="45">
        <f t="shared" si="2"/>
        <v>315558.95274667349</v>
      </c>
    </row>
    <row r="62" spans="2:8" s="42" customFormat="1" ht="14.25" customHeight="1">
      <c r="B62" s="43">
        <v>43282</v>
      </c>
      <c r="C62" s="43">
        <v>43313</v>
      </c>
      <c r="D62" s="44">
        <f>'LT COMODORO'!J65</f>
        <v>269011.36883000011</v>
      </c>
      <c r="E62" s="44">
        <f>RONDOLÂNDIA!I28</f>
        <v>149429.41563647077</v>
      </c>
      <c r="F62" s="44">
        <f>PARANORTE!I20</f>
        <v>45953.281591011721</v>
      </c>
      <c r="G62" s="44">
        <v>0</v>
      </c>
      <c r="H62" s="45">
        <f t="shared" si="2"/>
        <v>464394.06605748262</v>
      </c>
    </row>
    <row r="63" spans="2:8" s="42" customFormat="1" ht="14.25" customHeight="1">
      <c r="B63" s="43">
        <v>43313</v>
      </c>
      <c r="C63" s="43">
        <v>43344</v>
      </c>
      <c r="D63" s="44">
        <f>'LT COMODORO'!J66</f>
        <v>407136.24331499997</v>
      </c>
      <c r="E63" s="44">
        <f>RONDOLÂNDIA!I29</f>
        <v>166650.03005908403</v>
      </c>
      <c r="F63" s="44">
        <f>PARANORTE!I21</f>
        <v>49400.937901457881</v>
      </c>
      <c r="G63" s="44">
        <v>0</v>
      </c>
      <c r="H63" s="45">
        <f t="shared" si="2"/>
        <v>623187.21127554192</v>
      </c>
    </row>
    <row r="64" spans="2:8" s="42" customFormat="1" ht="14.25" customHeight="1">
      <c r="B64" s="43">
        <v>43344</v>
      </c>
      <c r="C64" s="43">
        <v>43374</v>
      </c>
      <c r="D64" s="44">
        <f>'LT COMODORO'!J67</f>
        <v>349956.52574500005</v>
      </c>
      <c r="E64" s="44">
        <f>RONDOLÂNDIA!I30</f>
        <v>167266.03432893753</v>
      </c>
      <c r="F64" s="44">
        <f>PARANORTE!I22</f>
        <v>47698.964509198187</v>
      </c>
      <c r="G64" s="44">
        <v>0</v>
      </c>
      <c r="H64" s="45">
        <f t="shared" si="2"/>
        <v>564921.52458313573</v>
      </c>
    </row>
    <row r="65" spans="2:8" s="42" customFormat="1" ht="14.25" customHeight="1">
      <c r="B65" s="43">
        <v>43374</v>
      </c>
      <c r="C65" s="43">
        <v>43405</v>
      </c>
      <c r="D65" s="44">
        <f>'LT COMODORO'!J68</f>
        <v>404490.56708499999</v>
      </c>
      <c r="E65" s="44">
        <f>RONDOLÂNDIA!I31</f>
        <v>171799.55652625</v>
      </c>
      <c r="F65" s="44">
        <f>PARANORTE!I23</f>
        <v>50588.649834356926</v>
      </c>
      <c r="G65" s="44">
        <v>0</v>
      </c>
      <c r="H65" s="45">
        <f t="shared" si="2"/>
        <v>626878.77344560693</v>
      </c>
    </row>
    <row r="66" spans="2:8" s="42" customFormat="1" ht="14.25" customHeight="1">
      <c r="B66" s="43">
        <v>43405</v>
      </c>
      <c r="C66" s="43">
        <v>43435</v>
      </c>
      <c r="D66" s="44">
        <f>'LT COMODORO'!J69</f>
        <v>327019.36</v>
      </c>
      <c r="E66" s="44">
        <f>RONDOLÂNDIA!I32</f>
        <v>159170.75858785774</v>
      </c>
      <c r="F66" s="44">
        <f>PARANORTE!I24</f>
        <v>47078.936789570289</v>
      </c>
      <c r="G66" s="44">
        <v>0</v>
      </c>
      <c r="H66" s="45">
        <f t="shared" si="2"/>
        <v>533269.05537742795</v>
      </c>
    </row>
    <row r="67" spans="2:8" s="42" customFormat="1" ht="14.25" customHeight="1">
      <c r="B67" s="43">
        <v>43435</v>
      </c>
      <c r="C67" s="43">
        <v>43466</v>
      </c>
      <c r="D67" s="44">
        <f>'LT COMODORO'!J70</f>
        <v>666159.69999999995</v>
      </c>
      <c r="E67" s="44">
        <f>RONDOLÂNDIA!I33</f>
        <v>158027.99265716702</v>
      </c>
      <c r="F67" s="44">
        <f>PARANORTE!I25</f>
        <v>44230.802495230826</v>
      </c>
      <c r="G67" s="44">
        <v>0</v>
      </c>
      <c r="H67" s="45">
        <f t="shared" si="2"/>
        <v>868418.49515239778</v>
      </c>
    </row>
    <row r="68" spans="2:8" s="42" customFormat="1" ht="14.25" customHeight="1">
      <c r="B68" s="43">
        <v>43466</v>
      </c>
      <c r="C68" s="43">
        <v>43497</v>
      </c>
      <c r="D68" s="44">
        <f>'LT COMODORO'!J71</f>
        <v>332055.08</v>
      </c>
      <c r="E68" s="44">
        <f>RONDOLÂNDIA!I34</f>
        <v>163634.79437905224</v>
      </c>
      <c r="F68" s="44">
        <f>PARANORTE!I26</f>
        <v>44909.11</v>
      </c>
      <c r="G68" s="44">
        <v>0</v>
      </c>
      <c r="H68" s="45">
        <f t="shared" si="2"/>
        <v>540598.9843790523</v>
      </c>
    </row>
    <row r="69" spans="2:8" s="42" customFormat="1" ht="14.25" customHeight="1">
      <c r="B69" s="43">
        <v>43497</v>
      </c>
      <c r="C69" s="43">
        <v>43525</v>
      </c>
      <c r="D69" s="44">
        <f>'LT COMODORO'!J72</f>
        <v>188828.44</v>
      </c>
      <c r="E69" s="44">
        <f>RONDOLÂNDIA!I35</f>
        <v>157549.29578225</v>
      </c>
      <c r="F69" s="44">
        <f>PARANORTE!I27</f>
        <v>41869.949999999997</v>
      </c>
      <c r="G69" s="44">
        <v>0</v>
      </c>
      <c r="H69" s="45">
        <f t="shared" si="2"/>
        <v>388247.68578225002</v>
      </c>
    </row>
    <row r="70" spans="2:8" s="42" customFormat="1" ht="14.25" customHeight="1">
      <c r="B70" s="43">
        <v>43525</v>
      </c>
      <c r="C70" s="43">
        <v>43556</v>
      </c>
      <c r="D70" s="44">
        <f>'LT COMODORO'!J73</f>
        <v>209104.42</v>
      </c>
      <c r="E70" s="44">
        <f>RONDOLÂNDIA!I36</f>
        <v>173101.17143361625</v>
      </c>
      <c r="F70" s="44">
        <f>PARANORTE!I28</f>
        <v>48166.82</v>
      </c>
      <c r="G70" s="44">
        <v>0</v>
      </c>
      <c r="H70" s="45">
        <f t="shared" si="2"/>
        <v>430372.41143361625</v>
      </c>
    </row>
    <row r="71" spans="2:8" s="42" customFormat="1" ht="14.25" customHeight="1">
      <c r="B71" s="43">
        <v>43556</v>
      </c>
      <c r="C71" s="43">
        <v>43586</v>
      </c>
      <c r="D71" s="44">
        <f>'LT COMODORO'!J74</f>
        <v>156379.46</v>
      </c>
      <c r="E71" s="44">
        <f>RONDOLÂNDIA!I37</f>
        <v>173592.41745610454</v>
      </c>
      <c r="F71" s="44">
        <f>PARANORTE!I29</f>
        <v>47536.54</v>
      </c>
      <c r="G71" s="44">
        <v>0</v>
      </c>
      <c r="H71" s="45">
        <f t="shared" si="2"/>
        <v>377508.41745610448</v>
      </c>
    </row>
    <row r="72" spans="2:8" s="42" customFormat="1" ht="14.25" customHeight="1">
      <c r="B72" s="43">
        <v>43586</v>
      </c>
      <c r="C72" s="43">
        <v>43617</v>
      </c>
      <c r="D72" s="44">
        <f>'LT COMODORO'!J75</f>
        <v>126534.14</v>
      </c>
      <c r="E72" s="44">
        <f>RONDOLÂNDIA!I38</f>
        <v>178100.43476238006</v>
      </c>
      <c r="F72" s="44">
        <f>PARANORTE!I30</f>
        <v>50205.52</v>
      </c>
      <c r="G72" s="44">
        <v>0</v>
      </c>
      <c r="H72" s="45">
        <f t="shared" si="2"/>
        <v>354840.09476238006</v>
      </c>
    </row>
    <row r="73" spans="2:8" s="42" customFormat="1" ht="14.25" customHeight="1">
      <c r="B73" s="43">
        <v>43617</v>
      </c>
      <c r="C73" s="43">
        <v>43647</v>
      </c>
      <c r="D73" s="44">
        <f>'LT COMODORO'!J76</f>
        <v>142616.44</v>
      </c>
      <c r="E73" s="44">
        <f>RONDOLÂNDIA!I39</f>
        <v>174615.37128000002</v>
      </c>
      <c r="F73" s="44">
        <f>PARANORTE!I31</f>
        <v>47307.199999999997</v>
      </c>
      <c r="G73" s="44">
        <v>0</v>
      </c>
      <c r="H73" s="45">
        <f t="shared" si="2"/>
        <v>364539.01128000004</v>
      </c>
    </row>
    <row r="74" spans="2:8" s="42" customFormat="1" ht="14.25" customHeight="1">
      <c r="B74" s="43">
        <v>43647</v>
      </c>
      <c r="C74" s="43">
        <v>43678</v>
      </c>
      <c r="D74" s="44">
        <f>'LT COMODORO'!J77</f>
        <v>210961.56</v>
      </c>
      <c r="E74" s="44">
        <f>RONDOLÂNDIA!I40</f>
        <v>103248.55613982002</v>
      </c>
      <c r="F74" s="44">
        <f>PARANORTE!I32</f>
        <v>48893.69</v>
      </c>
      <c r="G74" s="44">
        <v>0</v>
      </c>
      <c r="H74" s="45">
        <f t="shared" si="2"/>
        <v>363103.80613982002</v>
      </c>
    </row>
    <row r="75" spans="2:8" s="42" customFormat="1" ht="14.25" customHeight="1">
      <c r="B75" s="43">
        <v>43678</v>
      </c>
      <c r="C75" s="43">
        <v>43709</v>
      </c>
      <c r="D75" s="44">
        <f>'LT COMODORO'!J78</f>
        <v>157588.82</v>
      </c>
      <c r="E75" s="44">
        <v>0</v>
      </c>
      <c r="F75" s="44">
        <f>PARANORTE!I33</f>
        <v>49819.15</v>
      </c>
      <c r="G75" s="44">
        <v>0</v>
      </c>
      <c r="H75" s="45">
        <f t="shared" si="2"/>
        <v>207407.97</v>
      </c>
    </row>
    <row r="76" spans="2:8" s="42" customFormat="1" ht="14.25" customHeight="1">
      <c r="B76" s="43">
        <v>43709</v>
      </c>
      <c r="C76" s="43">
        <v>43739</v>
      </c>
      <c r="D76" s="44">
        <f>'LT COMODORO'!J79</f>
        <v>322557.99</v>
      </c>
      <c r="E76" s="44">
        <v>0</v>
      </c>
      <c r="F76" s="44">
        <f>PARANORTE!I34</f>
        <v>51895.62</v>
      </c>
      <c r="G76" s="44">
        <v>0</v>
      </c>
      <c r="H76" s="45">
        <f t="shared" si="2"/>
        <v>374453.61</v>
      </c>
    </row>
    <row r="77" spans="2:8" s="42" customFormat="1" ht="14.25" customHeight="1">
      <c r="B77" s="43">
        <v>43739</v>
      </c>
      <c r="C77" s="43">
        <v>43770</v>
      </c>
      <c r="D77" s="44">
        <f>'LT COMODORO'!J80</f>
        <v>229551.03</v>
      </c>
      <c r="E77" s="44">
        <v>0</v>
      </c>
      <c r="F77" s="44">
        <f>PARANORTE!I35</f>
        <v>50626.29</v>
      </c>
      <c r="G77" s="44">
        <v>0</v>
      </c>
      <c r="H77" s="45">
        <f t="shared" si="2"/>
        <v>280177.32</v>
      </c>
    </row>
    <row r="78" spans="2:8" s="42" customFormat="1" ht="14.25" customHeight="1">
      <c r="B78" s="43">
        <v>43770</v>
      </c>
      <c r="C78" s="43">
        <v>43800</v>
      </c>
      <c r="D78" s="44">
        <f>'LT COMODORO'!J81</f>
        <v>199440.39</v>
      </c>
      <c r="E78" s="44">
        <v>0</v>
      </c>
      <c r="F78" s="44">
        <f>PARANORTE!I36</f>
        <v>49673.45</v>
      </c>
      <c r="G78" s="44">
        <v>0</v>
      </c>
      <c r="H78" s="45">
        <f t="shared" si="2"/>
        <v>249113.84000000003</v>
      </c>
    </row>
    <row r="79" spans="2:8" s="42" customFormat="1" ht="14.25" customHeight="1">
      <c r="B79" s="43">
        <v>43800</v>
      </c>
      <c r="C79" s="43">
        <v>43831</v>
      </c>
      <c r="D79" s="44">
        <f>'LT COMODORO'!J82</f>
        <v>197918.11</v>
      </c>
      <c r="E79" s="44">
        <v>0</v>
      </c>
      <c r="F79" s="44">
        <f>PARANORTE!I37</f>
        <v>50230.879999999997</v>
      </c>
      <c r="G79" s="44">
        <v>0</v>
      </c>
      <c r="H79" s="45">
        <f t="shared" si="2"/>
        <v>248148.99</v>
      </c>
    </row>
    <row r="80" spans="2:8" s="42" customFormat="1" ht="14.25" customHeight="1">
      <c r="B80" s="43">
        <v>43831</v>
      </c>
      <c r="C80" s="43">
        <v>43862</v>
      </c>
      <c r="D80" s="44">
        <f>'LT COMODORO'!J83</f>
        <v>229363.96</v>
      </c>
      <c r="E80" s="44">
        <v>0</v>
      </c>
      <c r="F80" s="44">
        <f>PARANORTE!I38</f>
        <v>47711.92</v>
      </c>
      <c r="G80" s="44">
        <v>0</v>
      </c>
      <c r="H80" s="45">
        <f t="shared" si="2"/>
        <v>277075.88</v>
      </c>
    </row>
    <row r="81" spans="2:8" s="42" customFormat="1" ht="14.25" customHeight="1">
      <c r="B81" s="43">
        <v>43862</v>
      </c>
      <c r="C81" s="43">
        <v>43891</v>
      </c>
      <c r="D81" s="44">
        <f>'LT COMODORO'!J84</f>
        <v>281590.68</v>
      </c>
      <c r="E81" s="44">
        <v>0</v>
      </c>
      <c r="F81" s="44">
        <f>PARANORTE!I39</f>
        <v>46043.4</v>
      </c>
      <c r="G81" s="44">
        <v>0</v>
      </c>
      <c r="H81" s="45">
        <f t="shared" si="2"/>
        <v>327634.08</v>
      </c>
    </row>
    <row r="82" spans="2:8" s="42" customFormat="1" ht="14.25" customHeight="1">
      <c r="B82" s="43">
        <v>43891</v>
      </c>
      <c r="C82" s="43">
        <v>43922</v>
      </c>
      <c r="D82" s="44">
        <f>'LT COMODORO'!J85</f>
        <v>273132.62</v>
      </c>
      <c r="E82" s="44">
        <v>0</v>
      </c>
      <c r="F82" s="44">
        <f>PARANORTE!I40</f>
        <v>48623.88</v>
      </c>
      <c r="G82" s="44">
        <v>0</v>
      </c>
      <c r="H82" s="45">
        <f t="shared" si="2"/>
        <v>321756.5</v>
      </c>
    </row>
    <row r="83" spans="2:8" s="42" customFormat="1" ht="14.25" customHeight="1">
      <c r="B83" s="43">
        <v>43922</v>
      </c>
      <c r="C83" s="43">
        <v>43952</v>
      </c>
      <c r="D83" s="44">
        <f>'LT COMODORO'!J86</f>
        <v>204257.53</v>
      </c>
      <c r="E83" s="44">
        <v>0</v>
      </c>
      <c r="F83" s="44">
        <f>PARANORTE!I41</f>
        <v>48495.99</v>
      </c>
      <c r="G83" s="44">
        <v>0</v>
      </c>
      <c r="H83" s="45">
        <f t="shared" si="2"/>
        <v>252753.52</v>
      </c>
    </row>
    <row r="84" spans="2:8" s="42" customFormat="1" ht="14.25" customHeight="1">
      <c r="B84" s="43">
        <v>43952</v>
      </c>
      <c r="C84" s="43">
        <v>43983</v>
      </c>
      <c r="D84" s="44">
        <f>'LT COMODORO'!J87</f>
        <v>180204.26</v>
      </c>
      <c r="E84" s="44">
        <v>0</v>
      </c>
      <c r="F84" s="44">
        <f>PARANORTE!I42</f>
        <v>49418.28</v>
      </c>
      <c r="G84" s="44">
        <v>0</v>
      </c>
      <c r="H84" s="45">
        <f t="shared" si="2"/>
        <v>229622.54</v>
      </c>
    </row>
    <row r="85" spans="2:8" s="42" customFormat="1" ht="14.25" customHeight="1">
      <c r="B85" s="43">
        <v>43983</v>
      </c>
      <c r="C85" s="43">
        <v>44013</v>
      </c>
      <c r="D85" s="44">
        <f>'LT COMODORO'!J88</f>
        <v>241241.43</v>
      </c>
      <c r="E85" s="44">
        <v>0</v>
      </c>
      <c r="F85" s="44">
        <f>PARANORTE!I43</f>
        <v>48058.9</v>
      </c>
      <c r="G85" s="44">
        <v>0</v>
      </c>
      <c r="H85" s="45">
        <f t="shared" si="2"/>
        <v>289300.33</v>
      </c>
    </row>
    <row r="86" spans="2:8" s="42" customFormat="1" ht="14.25" customHeight="1">
      <c r="B86" s="43">
        <v>44013</v>
      </c>
      <c r="C86" s="43">
        <v>44044</v>
      </c>
      <c r="D86" s="44">
        <f>'LT COMODORO'!J89</f>
        <v>337098.17</v>
      </c>
      <c r="E86" s="44">
        <v>0</v>
      </c>
      <c r="F86" s="44">
        <f>PARANORTE!I44</f>
        <v>49725.25</v>
      </c>
      <c r="G86" s="44">
        <v>0</v>
      </c>
      <c r="H86" s="45">
        <f t="shared" si="2"/>
        <v>386823.42</v>
      </c>
    </row>
    <row r="87" spans="2:8" s="42" customFormat="1" ht="14.25" customHeight="1">
      <c r="B87" s="43">
        <v>44044</v>
      </c>
      <c r="C87" s="43">
        <v>44075</v>
      </c>
      <c r="D87" s="44">
        <f>'LT COMODORO'!J90</f>
        <v>383880</v>
      </c>
      <c r="E87" s="44">
        <v>0</v>
      </c>
      <c r="F87" s="44">
        <f>PARANORTE!I45</f>
        <v>51357.08</v>
      </c>
      <c r="G87" s="44">
        <v>0</v>
      </c>
      <c r="H87" s="45">
        <f t="shared" si="2"/>
        <v>435237.08</v>
      </c>
    </row>
    <row r="88" spans="2:8" s="42" customFormat="1" ht="14.25" customHeight="1">
      <c r="B88" s="43">
        <v>44075</v>
      </c>
      <c r="C88" s="43">
        <v>44105</v>
      </c>
      <c r="D88" s="44">
        <f>'LT COMODORO'!J91</f>
        <v>440365.11</v>
      </c>
      <c r="E88" s="44">
        <v>0</v>
      </c>
      <c r="F88" s="44">
        <f>PARANORTE!I46</f>
        <v>52538.720000000001</v>
      </c>
      <c r="G88" s="44">
        <v>0</v>
      </c>
      <c r="H88" s="45">
        <f t="shared" si="2"/>
        <v>492903.82999999996</v>
      </c>
    </row>
    <row r="89" spans="2:8" s="42" customFormat="1" ht="14.25" customHeight="1">
      <c r="B89" s="43">
        <v>44105</v>
      </c>
      <c r="C89" s="43">
        <v>44136</v>
      </c>
      <c r="D89" s="44">
        <f>'LT COMODORO'!J92</f>
        <v>460491.73</v>
      </c>
      <c r="E89" s="44">
        <v>0</v>
      </c>
      <c r="F89" s="44">
        <f>PARANORTE!I47</f>
        <v>53100.06</v>
      </c>
      <c r="G89" s="44">
        <v>0</v>
      </c>
      <c r="H89" s="45">
        <f t="shared" si="2"/>
        <v>513591.79</v>
      </c>
    </row>
    <row r="90" spans="2:8" s="42" customFormat="1" ht="14.25" customHeight="1">
      <c r="B90" s="43">
        <v>44136</v>
      </c>
      <c r="C90" s="43">
        <v>44166</v>
      </c>
      <c r="D90" s="44">
        <f>'LT COMODORO'!J93</f>
        <v>484758.25</v>
      </c>
      <c r="E90" s="44">
        <v>0</v>
      </c>
      <c r="F90" s="44">
        <f>PARANORTE!I48</f>
        <v>47950.97</v>
      </c>
      <c r="G90" s="44">
        <v>0</v>
      </c>
      <c r="H90" s="45">
        <f t="shared" si="2"/>
        <v>532709.22</v>
      </c>
    </row>
    <row r="91" spans="2:8" s="42" customFormat="1" ht="14.25" customHeight="1">
      <c r="B91" s="43">
        <v>44166</v>
      </c>
      <c r="C91" s="43">
        <v>44197</v>
      </c>
      <c r="D91" s="44">
        <f>'LT COMODORO'!J94</f>
        <v>359453.4</v>
      </c>
      <c r="E91" s="44">
        <v>0</v>
      </c>
      <c r="F91" s="44">
        <f>PARANORTE!I49</f>
        <v>48281.760000000002</v>
      </c>
      <c r="G91" s="44">
        <v>0</v>
      </c>
      <c r="H91" s="45">
        <f t="shared" si="2"/>
        <v>407735.16000000003</v>
      </c>
    </row>
    <row r="92" spans="2:8" s="42" customFormat="1" ht="14.25" customHeight="1">
      <c r="B92" s="43">
        <v>44197</v>
      </c>
      <c r="C92" s="43">
        <v>44228</v>
      </c>
      <c r="D92" s="44">
        <f>'LT COMODORO'!J95</f>
        <v>315292.51</v>
      </c>
      <c r="E92" s="44">
        <v>0</v>
      </c>
      <c r="F92" s="44">
        <f>PARANORTE!I50</f>
        <v>47029.83</v>
      </c>
      <c r="G92" s="44">
        <v>0</v>
      </c>
      <c r="H92" s="45">
        <f t="shared" ref="H92" si="3">SUM(D92:G92)</f>
        <v>362322.34</v>
      </c>
    </row>
    <row r="93" spans="2:8" s="42" customFormat="1" ht="14.25" customHeight="1">
      <c r="B93" s="43">
        <v>44228</v>
      </c>
      <c r="C93" s="43">
        <v>44256</v>
      </c>
      <c r="D93" s="44">
        <f>'LT COMODORO'!J96</f>
        <v>403454.65</v>
      </c>
      <c r="E93" s="44">
        <v>0</v>
      </c>
      <c r="F93" s="44">
        <f>PARANORTE!I51</f>
        <v>42989.67</v>
      </c>
      <c r="G93" s="44">
        <v>0</v>
      </c>
      <c r="H93" s="45">
        <f t="shared" ref="H93:H103" si="4">SUM(D93:G93)</f>
        <v>446444.32</v>
      </c>
    </row>
    <row r="94" spans="2:8" s="42" customFormat="1" ht="14.25" customHeight="1">
      <c r="B94" s="43">
        <v>44256</v>
      </c>
      <c r="C94" s="43">
        <v>44287</v>
      </c>
      <c r="D94" s="44">
        <f>'LT COMODORO'!J97</f>
        <v>458693.25</v>
      </c>
      <c r="E94" s="44">
        <v>0</v>
      </c>
      <c r="F94" s="44">
        <f>PARANORTE!I52</f>
        <v>44996.63</v>
      </c>
      <c r="G94" s="44">
        <v>0</v>
      </c>
      <c r="H94" s="45">
        <f t="shared" si="4"/>
        <v>503689.88</v>
      </c>
    </row>
    <row r="95" spans="2:8" s="42" customFormat="1" ht="14.25" customHeight="1">
      <c r="B95" s="43">
        <v>44287</v>
      </c>
      <c r="C95" s="43">
        <v>44317</v>
      </c>
      <c r="D95" s="44">
        <f>'LT COMODORO'!J98</f>
        <v>342041.57</v>
      </c>
      <c r="E95" s="44">
        <v>0</v>
      </c>
      <c r="F95" s="44">
        <f>PARANORTE!I53</f>
        <v>44652.89</v>
      </c>
      <c r="G95" s="44">
        <v>0</v>
      </c>
      <c r="H95" s="45">
        <f t="shared" si="4"/>
        <v>386694.46</v>
      </c>
    </row>
    <row r="96" spans="2:8" s="42" customFormat="1" ht="14.25" customHeight="1">
      <c r="B96" s="43">
        <v>44317</v>
      </c>
      <c r="C96" s="43">
        <v>44348</v>
      </c>
      <c r="D96" s="44">
        <f>'LT COMODORO'!J99</f>
        <v>412704.05</v>
      </c>
      <c r="E96" s="44">
        <v>0</v>
      </c>
      <c r="F96" s="44">
        <f>PARANORTE!I54</f>
        <v>47510.2</v>
      </c>
      <c r="G96" s="44">
        <v>0</v>
      </c>
      <c r="H96" s="45">
        <f t="shared" si="4"/>
        <v>460214.25</v>
      </c>
    </row>
    <row r="97" spans="2:8" s="42" customFormat="1" ht="14.25" customHeight="1">
      <c r="B97" s="43">
        <v>44348</v>
      </c>
      <c r="C97" s="43">
        <v>44378</v>
      </c>
      <c r="D97" s="44">
        <f>'LT COMODORO'!J100</f>
        <v>491931.28</v>
      </c>
      <c r="E97" s="44">
        <v>0</v>
      </c>
      <c r="F97" s="44">
        <f>PARANORTE!I55</f>
        <v>46015.44</v>
      </c>
      <c r="G97" s="44">
        <v>0</v>
      </c>
      <c r="H97" s="45">
        <f t="shared" si="4"/>
        <v>537946.72</v>
      </c>
    </row>
    <row r="98" spans="2:8" s="42" customFormat="1" ht="14.25" customHeight="1">
      <c r="B98" s="43">
        <v>44378</v>
      </c>
      <c r="C98" s="43">
        <v>44409</v>
      </c>
      <c r="D98" s="44">
        <f>'LT COMODORO'!J101</f>
        <v>543684.47</v>
      </c>
      <c r="E98" s="44">
        <v>0</v>
      </c>
      <c r="F98" s="44">
        <f>PARANORTE!I56</f>
        <v>44645.87</v>
      </c>
      <c r="G98" s="44">
        <v>0</v>
      </c>
      <c r="H98" s="45">
        <f t="shared" si="4"/>
        <v>588330.34</v>
      </c>
    </row>
    <row r="99" spans="2:8" s="42" customFormat="1" ht="14.25" customHeight="1">
      <c r="B99" s="43">
        <v>44409</v>
      </c>
      <c r="C99" s="43">
        <v>44440</v>
      </c>
      <c r="D99" s="44">
        <f>'LT COMODORO'!J102</f>
        <v>662105.65</v>
      </c>
      <c r="E99" s="44">
        <v>0</v>
      </c>
      <c r="F99" s="44">
        <f>PARANORTE!I57</f>
        <v>50951.39</v>
      </c>
      <c r="G99" s="44">
        <v>0</v>
      </c>
      <c r="H99" s="45">
        <f t="shared" si="4"/>
        <v>713057.04</v>
      </c>
    </row>
    <row r="100" spans="2:8" s="42" customFormat="1" ht="14.25" customHeight="1">
      <c r="B100" s="43">
        <v>44440</v>
      </c>
      <c r="C100" s="43">
        <v>44470</v>
      </c>
      <c r="D100" s="44">
        <f>'LT COMODORO'!J103</f>
        <v>732087.2</v>
      </c>
      <c r="E100" s="44">
        <v>0</v>
      </c>
      <c r="F100" s="44">
        <f>PARANORTE!I58</f>
        <v>50958.95</v>
      </c>
      <c r="G100" s="44">
        <v>0</v>
      </c>
      <c r="H100" s="45">
        <f t="shared" si="4"/>
        <v>783046.14999999991</v>
      </c>
    </row>
    <row r="101" spans="2:8" s="42" customFormat="1" ht="14.25" customHeight="1">
      <c r="B101" s="43">
        <v>44470</v>
      </c>
      <c r="C101" s="43">
        <v>44501</v>
      </c>
      <c r="D101" s="44">
        <f>'LT COMODORO'!J104</f>
        <v>745264.06</v>
      </c>
      <c r="E101" s="44">
        <v>0</v>
      </c>
      <c r="F101" s="44">
        <f>PARANORTE!I59</f>
        <v>51632.94</v>
      </c>
      <c r="G101" s="44">
        <v>0</v>
      </c>
      <c r="H101" s="45">
        <f t="shared" si="4"/>
        <v>796897</v>
      </c>
    </row>
    <row r="102" spans="2:8" s="42" customFormat="1" ht="14.25" customHeight="1">
      <c r="B102" s="43">
        <v>44501</v>
      </c>
      <c r="C102" s="43">
        <v>44531</v>
      </c>
      <c r="D102" s="44">
        <f>'LT COMODORO'!J105</f>
        <v>424713.18</v>
      </c>
      <c r="E102" s="44">
        <v>0</v>
      </c>
      <c r="F102" s="44">
        <f>PARANORTE!I60</f>
        <v>48518.22</v>
      </c>
      <c r="G102" s="44">
        <v>0</v>
      </c>
      <c r="H102" s="45">
        <f t="shared" si="4"/>
        <v>473231.4</v>
      </c>
    </row>
    <row r="103" spans="2:8" s="42" customFormat="1" ht="14.25" customHeight="1">
      <c r="B103" s="43">
        <v>44531</v>
      </c>
      <c r="C103" s="43">
        <v>44562</v>
      </c>
      <c r="D103" s="44">
        <f>'LT COMODORO'!J106</f>
        <v>458999.76</v>
      </c>
      <c r="E103" s="44">
        <v>0</v>
      </c>
      <c r="F103" s="44">
        <f>PARANORTE!I61</f>
        <v>48329.89</v>
      </c>
      <c r="G103" s="44">
        <v>0</v>
      </c>
      <c r="H103" s="45">
        <f t="shared" si="4"/>
        <v>507329.65</v>
      </c>
    </row>
    <row r="104" spans="2:8" s="42" customFormat="1" ht="14.25" customHeight="1">
      <c r="B104" s="43">
        <v>44562</v>
      </c>
      <c r="C104" s="43">
        <v>44593</v>
      </c>
      <c r="D104" s="44">
        <f>'LT COMODORO'!J107</f>
        <v>486981.73</v>
      </c>
      <c r="E104" s="44">
        <v>0</v>
      </c>
      <c r="F104" s="44">
        <f>PARANORTE!I62</f>
        <v>46885.86</v>
      </c>
      <c r="G104" s="44">
        <v>0</v>
      </c>
      <c r="H104" s="45">
        <f t="shared" ref="H104:H115" si="5">SUM(D104:G104)</f>
        <v>533867.59</v>
      </c>
    </row>
    <row r="105" spans="2:8" s="42" customFormat="1" ht="14.25" customHeight="1">
      <c r="B105" s="43">
        <v>44593</v>
      </c>
      <c r="C105" s="43">
        <v>44621</v>
      </c>
      <c r="D105" s="44">
        <f>'LT COMODORO'!J108</f>
        <v>408994.94</v>
      </c>
      <c r="E105" s="44">
        <v>0</v>
      </c>
      <c r="F105" s="44">
        <f>PARANORTE!I63</f>
        <v>42126.37</v>
      </c>
      <c r="G105" s="44">
        <v>0</v>
      </c>
      <c r="H105" s="45">
        <f t="shared" si="5"/>
        <v>451121.31</v>
      </c>
    </row>
    <row r="106" spans="2:8" s="42" customFormat="1" ht="14.25" customHeight="1">
      <c r="B106" s="43">
        <v>44621</v>
      </c>
      <c r="C106" s="43">
        <v>44652</v>
      </c>
      <c r="D106" s="44">
        <f>'LT COMODORO'!J109</f>
        <v>519915.07</v>
      </c>
      <c r="E106" s="44">
        <v>0</v>
      </c>
      <c r="F106" s="44">
        <f>PARANORTE!I64</f>
        <v>48726.52</v>
      </c>
      <c r="G106" s="44">
        <v>0</v>
      </c>
      <c r="H106" s="45">
        <f t="shared" si="5"/>
        <v>568641.59</v>
      </c>
    </row>
    <row r="107" spans="2:8" s="42" customFormat="1" ht="14.25" customHeight="1">
      <c r="B107" s="43">
        <v>44652</v>
      </c>
      <c r="C107" s="43">
        <v>44682</v>
      </c>
      <c r="D107" s="44">
        <f>'LT COMODORO'!J110</f>
        <v>444515.38</v>
      </c>
      <c r="E107" s="44">
        <v>0</v>
      </c>
      <c r="F107" s="44">
        <f>PARANORTE!I65</f>
        <v>46574.49</v>
      </c>
      <c r="G107" s="44">
        <v>0</v>
      </c>
      <c r="H107" s="45">
        <f t="shared" si="5"/>
        <v>491089.87</v>
      </c>
    </row>
    <row r="108" spans="2:8" s="42" customFormat="1" ht="14.25" customHeight="1">
      <c r="B108" s="43">
        <v>44682</v>
      </c>
      <c r="C108" s="43">
        <v>44713</v>
      </c>
      <c r="D108" s="44">
        <f>'LT COMODORO'!J111</f>
        <v>446835.87</v>
      </c>
      <c r="E108" s="44">
        <v>0</v>
      </c>
      <c r="F108" s="44">
        <f>PARANORTE!I66</f>
        <v>48805.84</v>
      </c>
      <c r="G108" s="44">
        <v>0</v>
      </c>
      <c r="H108" s="45">
        <f t="shared" si="5"/>
        <v>495641.70999999996</v>
      </c>
    </row>
    <row r="109" spans="2:8" s="42" customFormat="1" ht="14.25" customHeight="1">
      <c r="B109" s="43">
        <v>44713</v>
      </c>
      <c r="C109" s="43">
        <v>44743</v>
      </c>
      <c r="D109" s="44">
        <f>'LT COMODORO'!J112</f>
        <v>522108.32</v>
      </c>
      <c r="E109" s="44">
        <v>0</v>
      </c>
      <c r="F109" s="44">
        <f>PARANORTE!I67</f>
        <v>46527.55</v>
      </c>
      <c r="G109" s="44">
        <v>0</v>
      </c>
      <c r="H109" s="45">
        <f t="shared" si="5"/>
        <v>568635.87</v>
      </c>
    </row>
    <row r="110" spans="2:8" s="42" customFormat="1" ht="14.25" customHeight="1">
      <c r="B110" s="43">
        <v>44743</v>
      </c>
      <c r="C110" s="43">
        <v>44774</v>
      </c>
      <c r="D110" s="44">
        <f>'LT COMODORO'!J113</f>
        <v>862715.66</v>
      </c>
      <c r="E110" s="44">
        <v>0</v>
      </c>
      <c r="F110" s="44">
        <f>PARANORTE!I68</f>
        <v>47889.56</v>
      </c>
      <c r="G110" s="44">
        <v>0</v>
      </c>
      <c r="H110" s="45">
        <f t="shared" si="5"/>
        <v>910605.22</v>
      </c>
    </row>
    <row r="111" spans="2:8" s="42" customFormat="1" ht="14.25" customHeight="1">
      <c r="B111" s="43">
        <v>44774</v>
      </c>
      <c r="C111" s="43">
        <v>44805</v>
      </c>
      <c r="D111" s="44">
        <f>'LT COMODORO'!J114</f>
        <v>910028.91</v>
      </c>
      <c r="E111" s="44">
        <v>0</v>
      </c>
      <c r="F111" s="44">
        <f>PARANORTE!I69</f>
        <v>49306.49</v>
      </c>
      <c r="G111" s="46">
        <f>GUARIBA!J9</f>
        <v>0</v>
      </c>
      <c r="H111" s="45">
        <f t="shared" si="5"/>
        <v>959335.4</v>
      </c>
    </row>
    <row r="112" spans="2:8" s="42" customFormat="1" ht="14.25" customHeight="1">
      <c r="B112" s="43">
        <v>44805</v>
      </c>
      <c r="C112" s="43">
        <v>44835</v>
      </c>
      <c r="D112" s="44">
        <f>'LT COMODORO'!J115</f>
        <v>967247.38</v>
      </c>
      <c r="E112" s="44">
        <v>0</v>
      </c>
      <c r="F112" s="44">
        <f>PARANORTE!I70</f>
        <v>49333.33</v>
      </c>
      <c r="G112" s="46">
        <f>GUARIBA!J10</f>
        <v>628749.05000000005</v>
      </c>
      <c r="H112" s="45">
        <f t="shared" si="5"/>
        <v>1645329.76</v>
      </c>
    </row>
    <row r="113" spans="2:8" s="42" customFormat="1" ht="14.25" customHeight="1">
      <c r="B113" s="43">
        <v>44835</v>
      </c>
      <c r="C113" s="43">
        <v>44866</v>
      </c>
      <c r="D113" s="44">
        <f>'LT COMODORO'!J116</f>
        <v>799773.78</v>
      </c>
      <c r="E113" s="44">
        <v>0</v>
      </c>
      <c r="F113" s="44">
        <f>PARANORTE!I71</f>
        <v>48594.62</v>
      </c>
      <c r="G113" s="46">
        <f>GUARIBA!J11</f>
        <v>715935.6</v>
      </c>
      <c r="H113" s="45">
        <f t="shared" si="5"/>
        <v>1564304</v>
      </c>
    </row>
    <row r="114" spans="2:8" s="42" customFormat="1" ht="14.25" customHeight="1">
      <c r="B114" s="43">
        <v>44866</v>
      </c>
      <c r="C114" s="43">
        <v>44896</v>
      </c>
      <c r="D114" s="44">
        <f>'LT COMODORO'!J117</f>
        <v>789434.11</v>
      </c>
      <c r="E114" s="44">
        <v>0</v>
      </c>
      <c r="F114" s="44">
        <f>PARANORTE!I72</f>
        <v>45129.440000000002</v>
      </c>
      <c r="G114" s="46">
        <f>GUARIBA!J12</f>
        <v>717632.1</v>
      </c>
      <c r="H114" s="45">
        <f t="shared" si="5"/>
        <v>1552195.65</v>
      </c>
    </row>
    <row r="115" spans="2:8" s="42" customFormat="1" ht="14.25" customHeight="1">
      <c r="B115" s="43">
        <v>44896</v>
      </c>
      <c r="C115" s="43">
        <v>44927</v>
      </c>
      <c r="D115" s="44">
        <f>'LT COMODORO'!J118</f>
        <v>631753.56999999995</v>
      </c>
      <c r="E115" s="44">
        <v>0</v>
      </c>
      <c r="F115" s="44">
        <f>PARANORTE!I73</f>
        <v>45170.45</v>
      </c>
      <c r="G115" s="46">
        <f>GUARIBA!J13</f>
        <v>615782.74</v>
      </c>
      <c r="H115" s="45">
        <f t="shared" si="5"/>
        <v>1292706.7599999998</v>
      </c>
    </row>
    <row r="116" spans="2:8" s="42" customFormat="1" ht="14.25" customHeight="1">
      <c r="B116" s="43">
        <v>44927</v>
      </c>
      <c r="C116" s="43">
        <v>44958</v>
      </c>
      <c r="D116" s="44">
        <f>'LT COMODORO'!J119</f>
        <v>599389.97</v>
      </c>
      <c r="E116" s="44">
        <v>0</v>
      </c>
      <c r="F116" s="44">
        <f>PARANORTE!I74</f>
        <v>43789.74</v>
      </c>
      <c r="G116" s="46">
        <f>GUARIBA!J14</f>
        <v>634173.71</v>
      </c>
      <c r="H116" s="45">
        <f t="shared" ref="H116" si="6">SUM(D116:G116)</f>
        <v>1277353.42</v>
      </c>
    </row>
    <row r="117" spans="2:8" s="42" customFormat="1" ht="14.25" customHeight="1">
      <c r="B117" s="43">
        <v>44958</v>
      </c>
      <c r="C117" s="43">
        <v>44986</v>
      </c>
      <c r="D117" s="44">
        <f>VLOOKUP(B117,'LT COMODORO'!B:J,9,0)</f>
        <v>632889.81000000006</v>
      </c>
      <c r="E117" s="44">
        <v>0</v>
      </c>
      <c r="F117" s="44">
        <f>VLOOKUP(B117,PARANORTE!B:I,8,0)</f>
        <v>40993.39</v>
      </c>
      <c r="G117" s="46">
        <f>VLOOKUP(B117,GUARIBA!B:J,9,0)</f>
        <v>618444.9</v>
      </c>
      <c r="H117" s="45">
        <f t="shared" ref="H117" si="7">SUM(D117:G117)</f>
        <v>1292328.1000000001</v>
      </c>
    </row>
    <row r="118" spans="2:8" s="42" customFormat="1" ht="14.25" customHeight="1">
      <c r="B118" s="43">
        <v>44986</v>
      </c>
      <c r="C118" s="43">
        <v>45017</v>
      </c>
      <c r="D118" s="44">
        <f>VLOOKUP(B118,'LT COMODORO'!B:J,9,0)</f>
        <v>802722.45</v>
      </c>
      <c r="E118" s="44">
        <v>0</v>
      </c>
      <c r="F118" s="44">
        <f>VLOOKUP(B118,PARANORTE!B:I,8,0)</f>
        <v>48189.57</v>
      </c>
      <c r="G118" s="46">
        <f>VLOOKUP(B118,GUARIBA!B:J,9,0)</f>
        <v>670855.31000000006</v>
      </c>
      <c r="H118" s="45">
        <f t="shared" ref="H118:H121" si="8">SUM(D118:G118)</f>
        <v>1521767.33</v>
      </c>
    </row>
    <row r="119" spans="2:8" s="42" customFormat="1" ht="14.25" customHeight="1">
      <c r="B119" s="43">
        <v>45017</v>
      </c>
      <c r="C119" s="43">
        <v>45047</v>
      </c>
      <c r="D119" s="44">
        <f>VLOOKUP(B119,'LT COMODORO'!B:J,9,0)</f>
        <v>1203000.22</v>
      </c>
      <c r="E119" s="44">
        <v>0</v>
      </c>
      <c r="F119" s="44">
        <f>VLOOKUP(B119,PARANORTE!B:I,8,0)</f>
        <v>48216.91</v>
      </c>
      <c r="G119" s="46">
        <f>VLOOKUP(B119,GUARIBA!B:J,9,0)</f>
        <v>661459.4</v>
      </c>
      <c r="H119" s="45">
        <f t="shared" ref="H119" si="9">SUM(D119:G119)</f>
        <v>1912676.5299999998</v>
      </c>
    </row>
    <row r="120" spans="2:8" s="42" customFormat="1" ht="14.25" customHeight="1">
      <c r="B120" s="43">
        <v>45047</v>
      </c>
      <c r="C120" s="43">
        <v>45078</v>
      </c>
      <c r="D120" s="44">
        <f>VLOOKUP(B120,'LT COMODORO'!B:J,9,0)</f>
        <v>961250.36</v>
      </c>
      <c r="E120" s="44">
        <v>0</v>
      </c>
      <c r="F120" s="44">
        <f>VLOOKUP(B120,PARANORTE!B:I,8,0)</f>
        <v>51590.96</v>
      </c>
      <c r="G120" s="46">
        <f>VLOOKUP(B120,GUARIBA!B:J,9,0)</f>
        <v>719768.24</v>
      </c>
      <c r="H120" s="45">
        <f t="shared" si="8"/>
        <v>1732609.56</v>
      </c>
    </row>
    <row r="121" spans="2:8" s="42" customFormat="1" ht="14.25" customHeight="1">
      <c r="B121" s="43">
        <v>45078</v>
      </c>
      <c r="C121" s="43">
        <v>45108</v>
      </c>
      <c r="D121" s="44">
        <f>VLOOKUP(B121,'LT COMODORO'!B:J,9,0)</f>
        <v>501873.17</v>
      </c>
      <c r="E121" s="44">
        <v>0</v>
      </c>
      <c r="F121" s="44">
        <f>VLOOKUP(B121,PARANORTE!B:I,8,0)</f>
        <v>46115.22</v>
      </c>
      <c r="G121" s="46">
        <f>VLOOKUP(B121,GUARIBA!B:J,9,0)</f>
        <v>684835.9</v>
      </c>
      <c r="H121" s="45">
        <f t="shared" si="8"/>
        <v>1232824.29</v>
      </c>
    </row>
    <row r="122" spans="2:8" s="42" customFormat="1" ht="14.25" customHeight="1">
      <c r="B122" s="43">
        <v>45108</v>
      </c>
      <c r="C122" s="43">
        <v>45139</v>
      </c>
      <c r="D122" s="44">
        <f>VLOOKUP(B122,'LT COMODORO'!B:J,9,0)</f>
        <v>690382.94</v>
      </c>
      <c r="E122" s="44">
        <v>0</v>
      </c>
      <c r="F122" s="44">
        <f>VLOOKUP(B122,PARANORTE!B:I,8,0)</f>
        <v>46412.93</v>
      </c>
      <c r="G122" s="46">
        <f>VLOOKUP(B122,GUARIBA!B:J,9,0)</f>
        <v>715714.23</v>
      </c>
      <c r="H122" s="45">
        <f t="shared" ref="H122" si="10">SUM(D122:G122)</f>
        <v>1452510.1</v>
      </c>
    </row>
    <row r="123" spans="2:8" s="42" customFormat="1" ht="14.25" customHeight="1">
      <c r="B123" s="43">
        <v>45139</v>
      </c>
      <c r="C123" s="43">
        <v>45170</v>
      </c>
      <c r="D123" s="44">
        <f>VLOOKUP(B123,'LT COMODORO'!B:J,9,0)</f>
        <v>1018878.69</v>
      </c>
      <c r="E123" s="44">
        <v>0</v>
      </c>
      <c r="F123" s="44">
        <f>VLOOKUP(B123,PARANORTE!B:I,8,0)</f>
        <v>51972.72</v>
      </c>
      <c r="G123" s="46">
        <f>VLOOKUP(B123,GUARIBA!B:J,9,0)</f>
        <v>811008.8</v>
      </c>
      <c r="H123" s="45">
        <f t="shared" ref="H123" si="11">SUM(D123:G123)</f>
        <v>1881860.21</v>
      </c>
    </row>
    <row r="124" spans="2:8" s="42" customFormat="1" ht="14.25" customHeight="1">
      <c r="B124" s="43">
        <v>45170</v>
      </c>
      <c r="C124" s="43">
        <v>45200</v>
      </c>
      <c r="D124" s="44">
        <f>VLOOKUP(B124,'LT COMODORO'!B:J,9,0)</f>
        <v>1083068.92</v>
      </c>
      <c r="E124" s="44">
        <v>0</v>
      </c>
      <c r="F124" s="44">
        <f>VLOOKUP(B124,PARANORTE!B:I,8,0)</f>
        <v>46937.47</v>
      </c>
      <c r="G124" s="46">
        <f>VLOOKUP(B124,GUARIBA!B:J,9,0)</f>
        <v>767119.16</v>
      </c>
      <c r="H124" s="45">
        <f t="shared" ref="H124:H126" si="12">SUM(D124:G124)</f>
        <v>1897125.5499999998</v>
      </c>
    </row>
    <row r="125" spans="2:8" s="42" customFormat="1" ht="14.25" customHeight="1">
      <c r="B125" s="43">
        <v>45200</v>
      </c>
      <c r="C125" s="43">
        <v>45231</v>
      </c>
      <c r="D125" s="44">
        <f>VLOOKUP(B125,'LT COMODORO'!B:J,9,0)</f>
        <v>956101.97</v>
      </c>
      <c r="E125" s="44">
        <v>0</v>
      </c>
      <c r="F125" s="44">
        <f>VLOOKUP(B125,PARANORTE!B:I,8,0)</f>
        <v>50761.120000000003</v>
      </c>
      <c r="G125" s="46">
        <f>VLOOKUP(B125,GUARIBA!B:J,9,0)</f>
        <v>813656.99</v>
      </c>
      <c r="H125" s="45">
        <f t="shared" si="12"/>
        <v>1820520.08</v>
      </c>
    </row>
    <row r="126" spans="2:8" s="42" customFormat="1" ht="14.25" customHeight="1">
      <c r="B126" s="43">
        <v>45231</v>
      </c>
      <c r="C126" s="43">
        <v>45261</v>
      </c>
      <c r="D126" s="44">
        <f>VLOOKUP(B126,'LT COMODORO'!B:J,9,0)</f>
        <v>914855.95</v>
      </c>
      <c r="E126" s="44">
        <v>0</v>
      </c>
      <c r="F126" s="44">
        <f>VLOOKUP(B126,PARANORTE!B:I,8,0)</f>
        <v>48571.33</v>
      </c>
      <c r="G126" s="46">
        <f>VLOOKUP(B126,GUARIBA!B:J,9,0)</f>
        <v>779411.52</v>
      </c>
      <c r="H126" s="45">
        <f t="shared" si="12"/>
        <v>1742838.7999999998</v>
      </c>
    </row>
    <row r="127" spans="2:8" s="42" customFormat="1" ht="14.25" customHeight="1">
      <c r="B127" s="43">
        <v>45261</v>
      </c>
      <c r="C127" s="43">
        <v>45292</v>
      </c>
      <c r="D127" s="44">
        <f>VLOOKUP(B127,'LT COMODORO'!B:J,9,0)</f>
        <v>716616.19</v>
      </c>
      <c r="E127" s="44">
        <v>0</v>
      </c>
      <c r="F127" s="44">
        <f>VLOOKUP(B127,PARANORTE!B:I,8,0)</f>
        <v>47568.33</v>
      </c>
      <c r="G127" s="46">
        <f>VLOOKUP(B127,GUARIBA!B:J,9,0)</f>
        <v>684264.88</v>
      </c>
      <c r="H127" s="45">
        <f t="shared" ref="H127:H129" si="13">SUM(D127:G127)</f>
        <v>1448449.4</v>
      </c>
    </row>
    <row r="128" spans="2:8" s="42" customFormat="1" ht="14" customHeight="1">
      <c r="B128" s="43">
        <v>45292</v>
      </c>
      <c r="C128" s="43">
        <v>45323</v>
      </c>
      <c r="D128" s="44">
        <f>VLOOKUP(B128,'LT COMODORO'!B:J,9,0)</f>
        <v>769059.75</v>
      </c>
      <c r="E128" s="44">
        <v>0</v>
      </c>
      <c r="F128" s="44">
        <f>VLOOKUP(B128,PARANORTE!B:I,8,0)</f>
        <v>42855.597329999997</v>
      </c>
      <c r="G128" s="46">
        <f>VLOOKUP(B128,GUARIBA!B:J,9,0)</f>
        <v>647074.34</v>
      </c>
      <c r="H128" s="45">
        <f t="shared" si="13"/>
        <v>1458989.6873300001</v>
      </c>
    </row>
    <row r="129" spans="2:8" s="42" customFormat="1" ht="14" customHeight="1">
      <c r="B129" s="43">
        <v>45323</v>
      </c>
      <c r="C129" s="43">
        <v>45352</v>
      </c>
      <c r="D129" s="44">
        <f>VLOOKUP(B129,'LT COMODORO'!B:J,9,0)</f>
        <v>622920.16</v>
      </c>
      <c r="E129" s="44">
        <v>0</v>
      </c>
      <c r="F129" s="44">
        <f>VLOOKUP(B129,PARANORTE!B:I,8,0)</f>
        <v>41564.506829999998</v>
      </c>
      <c r="G129" s="46">
        <f>VLOOKUP(B129,GUARIBA!B:J,9,0)</f>
        <v>657494.35</v>
      </c>
      <c r="H129" s="45">
        <f t="shared" si="13"/>
        <v>1321979.0168300001</v>
      </c>
    </row>
    <row r="130" spans="2:8" s="42" customFormat="1" ht="14" customHeight="1">
      <c r="B130" s="43">
        <v>45352</v>
      </c>
      <c r="C130" s="43">
        <v>45383</v>
      </c>
      <c r="D130" s="44">
        <f>VLOOKUP(B130,'LT COMODORO'!B:J,9,0)</f>
        <v>905850.29</v>
      </c>
      <c r="E130" s="44">
        <v>0</v>
      </c>
      <c r="F130" s="44">
        <f>VLOOKUP(B130,PARANORTE!B:I,8,0)</f>
        <v>50761.12167</v>
      </c>
      <c r="G130" s="46">
        <f>VLOOKUP(B130,GUARIBA!B:J,9,0)</f>
        <v>813656.99</v>
      </c>
      <c r="H130" s="45">
        <f t="shared" ref="H130" si="14">SUM(D130:G130)</f>
        <v>1770268.4016700001</v>
      </c>
    </row>
    <row r="131" spans="2:8" s="42" customFormat="1" ht="14" customHeight="1">
      <c r="B131" s="43">
        <v>45383</v>
      </c>
      <c r="C131" s="43">
        <v>45413</v>
      </c>
      <c r="D131" s="44">
        <f>VLOOKUP(B131,'LT COMODORO'!B:J,9,0)</f>
        <v>891555.83</v>
      </c>
      <c r="E131" s="44">
        <v>0</v>
      </c>
      <c r="F131" s="44">
        <f>VLOOKUP(B131,PARANORTE!B:I,8,0)</f>
        <v>44409.969029999993</v>
      </c>
      <c r="G131" s="46">
        <f>VLOOKUP(B131,GUARIBA!B:J,9,0)</f>
        <v>668975.71</v>
      </c>
      <c r="H131" s="45">
        <f t="shared" ref="H131" si="15">SUM(D131:G131)</f>
        <v>1604941.5090299998</v>
      </c>
    </row>
    <row r="132" spans="2:8" s="42" customFormat="1" ht="14" customHeight="1">
      <c r="B132" s="43">
        <v>45413</v>
      </c>
      <c r="C132" s="43">
        <v>45444</v>
      </c>
      <c r="D132" s="44">
        <f>VLOOKUP(B132,'LT COMODORO'!B:J,9,0)</f>
        <v>655749.39</v>
      </c>
      <c r="E132" s="44">
        <v>0</v>
      </c>
      <c r="F132" s="44">
        <f>VLOOKUP(B132,PARANORTE!B:I,8,0)</f>
        <v>43182.673589999999</v>
      </c>
      <c r="G132" s="46">
        <f>VLOOKUP(B132,GUARIBA!B:J,9,0)</f>
        <v>672872.95</v>
      </c>
      <c r="H132" s="45">
        <f t="shared" ref="H132" si="16">SUM(D132:G132)</f>
        <v>1371805.0135900001</v>
      </c>
    </row>
    <row r="133" spans="2:8" s="42" customFormat="1" ht="14" customHeight="1">
      <c r="B133" s="43">
        <v>45444</v>
      </c>
      <c r="C133" s="43">
        <v>45474</v>
      </c>
      <c r="D133" s="44">
        <f>VLOOKUP(B133,'LT COMODORO'!B:J,9,0)</f>
        <v>872757.13</v>
      </c>
      <c r="E133" s="44">
        <v>0</v>
      </c>
      <c r="F133" s="44">
        <f>VLOOKUP(B133,PARANORTE!B:I,8,0)</f>
        <v>40101.270929999999</v>
      </c>
      <c r="G133" s="46">
        <f>VLOOKUP(B133,GUARIBA!B:J,9,0)</f>
        <v>649962.29</v>
      </c>
      <c r="H133" s="45">
        <f t="shared" ref="H133:H140" si="17">SUM(D133:G133)</f>
        <v>1562820.69093</v>
      </c>
    </row>
    <row r="134" spans="2:8" s="42" customFormat="1" ht="14" customHeight="1">
      <c r="B134" s="43">
        <v>45474</v>
      </c>
      <c r="C134" s="43">
        <v>45505</v>
      </c>
      <c r="D134" s="44">
        <f>VLOOKUP(B134,'LT COMODORO'!B:J,9,0)</f>
        <v>839606.33</v>
      </c>
      <c r="E134" s="44">
        <v>0</v>
      </c>
      <c r="F134" s="44">
        <f>VLOOKUP(B134,PARANORTE!B:I,8,0)</f>
        <v>40468.851989999996</v>
      </c>
      <c r="G134" s="46">
        <f>VLOOKUP(B134,GUARIBA!B:J,9,0)</f>
        <v>687792.36</v>
      </c>
      <c r="H134" s="45">
        <f t="shared" si="17"/>
        <v>1567867.5419899998</v>
      </c>
    </row>
    <row r="135" spans="2:8" s="42" customFormat="1" ht="14" customHeight="1">
      <c r="B135" s="43">
        <v>45505</v>
      </c>
      <c r="C135" s="43">
        <v>45536</v>
      </c>
      <c r="D135" s="44">
        <f>VLOOKUP(B135,'LT COMODORO'!B:J,9,0)</f>
        <v>1011256.62</v>
      </c>
      <c r="E135" s="44">
        <v>0</v>
      </c>
      <c r="F135" s="44">
        <f>VLOOKUP(B135,PARANORTE!B:I,8,0)</f>
        <v>45187.154879999995</v>
      </c>
      <c r="G135" s="46">
        <f>VLOOKUP(B135,GUARIBA!B:J,9,0)</f>
        <v>677848.54</v>
      </c>
      <c r="H135" s="45">
        <f t="shared" si="17"/>
        <v>1734292.31488</v>
      </c>
    </row>
    <row r="136" spans="2:8" s="42" customFormat="1" ht="14" customHeight="1">
      <c r="B136" s="43">
        <v>45536</v>
      </c>
      <c r="C136" s="43">
        <v>45566</v>
      </c>
      <c r="D136" s="44">
        <f>VLOOKUP(B136,'LT COMODORO'!B:J,9,0)</f>
        <v>756692.14</v>
      </c>
      <c r="E136" s="44">
        <v>0</v>
      </c>
      <c r="F136" s="44">
        <f>VLOOKUP(B136,PARANORTE!B:I,8,0)</f>
        <v>51221.863769999996</v>
      </c>
      <c r="G136" s="46">
        <f>VLOOKUP(B136,GUARIBA!B:J,9,0)</f>
        <v>657091.03</v>
      </c>
      <c r="H136" s="45">
        <f t="shared" si="17"/>
        <v>1465005.0337700001</v>
      </c>
    </row>
    <row r="137" spans="2:8" s="42" customFormat="1" ht="14" customHeight="1">
      <c r="B137" s="43">
        <v>45566</v>
      </c>
      <c r="C137" s="43">
        <v>45597</v>
      </c>
      <c r="D137" s="44">
        <v>0</v>
      </c>
      <c r="E137" s="44">
        <v>0</v>
      </c>
      <c r="F137" s="44">
        <f>VLOOKUP(B137,PARANORTE!B:I,8,0)</f>
        <v>48691.832699999999</v>
      </c>
      <c r="G137" s="46">
        <f>VLOOKUP(B137,GUARIBA!B:J,9,0)</f>
        <v>684509.19</v>
      </c>
      <c r="H137" s="45">
        <f t="shared" si="17"/>
        <v>733201.02269999997</v>
      </c>
    </row>
    <row r="138" spans="2:8" s="42" customFormat="1" ht="14" customHeight="1">
      <c r="B138" s="43">
        <v>45597</v>
      </c>
      <c r="C138" s="43">
        <v>45656</v>
      </c>
      <c r="D138" s="44">
        <v>0</v>
      </c>
      <c r="E138" s="44">
        <v>0</v>
      </c>
      <c r="F138" s="44">
        <f>VLOOKUP(B138,PARANORTE!B:I,8,0)</f>
        <v>46335.972269999991</v>
      </c>
      <c r="G138" s="46" t="str">
        <f>VLOOKUP(B138,GUARIBA!B:J,9,0)</f>
        <v xml:space="preserve"> - </v>
      </c>
      <c r="H138" s="45">
        <f t="shared" si="17"/>
        <v>46335.972269999991</v>
      </c>
    </row>
    <row r="139" spans="2:8" s="42" customFormat="1" ht="14" customHeight="1">
      <c r="B139" s="43">
        <v>45627</v>
      </c>
      <c r="C139" s="43">
        <v>45688</v>
      </c>
      <c r="D139" s="44">
        <v>0</v>
      </c>
      <c r="E139" s="44">
        <v>0</v>
      </c>
      <c r="F139" s="44">
        <f>VLOOKUP(B139,PARANORTE!B:I,8,0)</f>
        <v>46566.343319999993</v>
      </c>
      <c r="G139" s="46">
        <f>VLOOKUP(B139,GUARIBA!B:J,9,0)</f>
        <v>621925.81999999995</v>
      </c>
      <c r="H139" s="45">
        <f t="shared" si="17"/>
        <v>668492.16331999993</v>
      </c>
    </row>
    <row r="140" spans="2:8" s="42" customFormat="1" ht="14" customHeight="1">
      <c r="B140" s="43">
        <v>45658</v>
      </c>
      <c r="C140" s="43">
        <v>45689</v>
      </c>
      <c r="D140" s="44">
        <v>0</v>
      </c>
      <c r="E140" s="44">
        <v>0</v>
      </c>
      <c r="F140" s="44">
        <f>VLOOKUP(B140,PARANORTE!B:I,8,0)</f>
        <v>43903.745102699999</v>
      </c>
      <c r="G140" s="46">
        <f>VLOOKUP(B140,GUARIBA!B:J,9,0)</f>
        <v>574746.63</v>
      </c>
      <c r="H140" s="45">
        <f t="shared" si="17"/>
        <v>618650.37510269997</v>
      </c>
    </row>
    <row r="141" spans="2:8" s="42" customFormat="1" ht="14" customHeight="1">
      <c r="B141" s="43">
        <v>45689</v>
      </c>
      <c r="C141" s="43">
        <v>45717</v>
      </c>
      <c r="D141" s="44">
        <v>0</v>
      </c>
      <c r="E141" s="44">
        <v>0</v>
      </c>
      <c r="F141" s="44">
        <f>VLOOKUP(B141,PARANORTE!B:I,8,0)</f>
        <v>42440.929439999993</v>
      </c>
      <c r="G141" s="46">
        <f>VLOOKUP(B141,GUARIBA!B:J,9,0)</f>
        <v>579787.5</v>
      </c>
      <c r="H141" s="45">
        <f t="shared" ref="H141" si="18">SUM(D141:G141)</f>
        <v>622228.42943999998</v>
      </c>
    </row>
    <row r="142" spans="2:8" s="42" customFormat="1" ht="14" customHeight="1">
      <c r="B142" s="43">
        <v>45717</v>
      </c>
      <c r="C142" s="43">
        <v>45748</v>
      </c>
      <c r="D142" s="44">
        <v>0</v>
      </c>
      <c r="E142" s="44">
        <v>0</v>
      </c>
      <c r="F142" s="44">
        <f>VLOOKUP(B142,PARANORTE!B:I,8,0)</f>
        <v>46551.660329999992</v>
      </c>
      <c r="G142" s="46">
        <f>VLOOKUP(B142,GUARIBA!B:J,9,0)</f>
        <v>631784.13</v>
      </c>
      <c r="H142" s="45">
        <f t="shared" ref="H142" si="19">SUM(D142:G142)</f>
        <v>678335.79032999999</v>
      </c>
    </row>
    <row r="143" spans="2:8" s="42" customFormat="1" ht="14" customHeight="1">
      <c r="B143" s="43">
        <v>45748</v>
      </c>
      <c r="C143" s="43">
        <v>45778</v>
      </c>
      <c r="D143" s="44">
        <v>0</v>
      </c>
      <c r="E143" s="44">
        <v>0</v>
      </c>
      <c r="F143" s="44">
        <f>VLOOKUP(B143,PARANORTE!B:I,8,0)</f>
        <v>46885.318619999998</v>
      </c>
      <c r="G143" s="46">
        <f>VLOOKUP(B143,GUARIBA!B:J,9,0)</f>
        <v>593968.78</v>
      </c>
      <c r="H143" s="45">
        <f t="shared" ref="H143:H144" si="20">SUM(D143:G143)</f>
        <v>640854.09862000006</v>
      </c>
    </row>
    <row r="144" spans="2:8" s="42" customFormat="1" ht="14" customHeight="1">
      <c r="B144" s="43">
        <v>45778</v>
      </c>
      <c r="C144" s="43">
        <v>45809</v>
      </c>
      <c r="D144" s="44">
        <v>0</v>
      </c>
      <c r="E144" s="44">
        <v>0</v>
      </c>
      <c r="F144" s="44">
        <f>VLOOKUP(B144,PARANORTE!B:I,8,0)</f>
        <v>48403.23599999999</v>
      </c>
      <c r="G144" s="46">
        <f>VLOOKUP(B144,GUARIBA!B:J,9,0)</f>
        <v>565461.4</v>
      </c>
      <c r="H144" s="45">
        <f t="shared" si="20"/>
        <v>613864.63600000006</v>
      </c>
    </row>
    <row r="145" spans="2:8" s="42" customFormat="1" ht="14" customHeight="1">
      <c r="B145" s="43">
        <v>45809</v>
      </c>
      <c r="C145" s="43">
        <v>45839</v>
      </c>
      <c r="D145" s="44">
        <v>0</v>
      </c>
      <c r="E145" s="44">
        <v>0</v>
      </c>
      <c r="F145" s="44">
        <f>VLOOKUP(B145,PARANORTE!B:I,8,0)</f>
        <v>46180.535099999994</v>
      </c>
      <c r="G145" s="46">
        <f>VLOOKUP(B145,GUARIBA!B:J,9,0)</f>
        <v>580326.44999999995</v>
      </c>
      <c r="H145" s="45">
        <f t="shared" ref="H145" si="21">SUM(D145:G145)</f>
        <v>626506.98509999993</v>
      </c>
    </row>
    <row r="146" spans="2:8" s="42" customFormat="1" ht="14" customHeight="1">
      <c r="B146" s="47" t="s">
        <v>41</v>
      </c>
      <c r="C146" s="47"/>
      <c r="D146" s="48">
        <f>'LT COMODORO'!E176</f>
        <v>0</v>
      </c>
      <c r="E146" s="48">
        <f>RONDOLÂNDIA!D53</f>
        <v>1.882374519482255E-3</v>
      </c>
      <c r="F146" s="48">
        <f>PARANORTE!E131</f>
        <v>1544409.3784673002</v>
      </c>
      <c r="G146" s="48">
        <f>GUARIBA!E58</f>
        <v>53759963.579999998</v>
      </c>
    </row>
    <row r="147" spans="2:8" s="42" customFormat="1" ht="14.25" customHeight="1">
      <c r="B147" s="47" t="s">
        <v>43</v>
      </c>
      <c r="C147" s="47"/>
      <c r="D147" s="48">
        <f>'LT COMODORO'!E144</f>
        <v>32253729.719999999</v>
      </c>
      <c r="E147" s="48">
        <f>RONDOLÂNDIA!D45</f>
        <v>4613325</v>
      </c>
      <c r="F147" s="48">
        <f>PARANORTE!E108</f>
        <v>4914570</v>
      </c>
      <c r="G147" s="48">
        <f>GUARIBA!$E$48</f>
        <v>57794874.380000003</v>
      </c>
    </row>
    <row r="148" spans="2:8" s="42" customFormat="1" ht="14.25" customHeight="1">
      <c r="B148" s="47" t="s">
        <v>44</v>
      </c>
      <c r="C148" s="47"/>
      <c r="D148" s="48">
        <f>SUM(D6:D144)</f>
        <v>51644344.071373001</v>
      </c>
      <c r="E148" s="48">
        <f t="shared" ref="E148:G148" si="22">SUM(E6:E144)</f>
        <v>4746463.1903374568</v>
      </c>
      <c r="F148" s="48">
        <f t="shared" si="22"/>
        <v>4457048.7436014526</v>
      </c>
      <c r="G148" s="48">
        <f t="shared" si="22"/>
        <v>21623764.539999999</v>
      </c>
    </row>
    <row r="149" spans="2:8" s="42" customFormat="1" ht="14.25" customHeight="1">
      <c r="B149" s="47" t="s">
        <v>42</v>
      </c>
      <c r="C149" s="47"/>
      <c r="D149" s="48">
        <f>SUMIF('LT COMODORO'!$D$144:$D$174,"MONTANTE ATUALIZADO",'LT COMODORO'!$E$144:$E$174)-SUMIF('LT COMODORO'!$D$144:$D$174,"DIFERENÇA",'LT COMODORO'!$E$144:$E$174)</f>
        <v>19390614.351373017</v>
      </c>
      <c r="E149" s="48">
        <f>SUMIF(RONDOLÂNDIA!$B$45:$B$51,"MONTANTE ATUALIZADO",RONDOLÂNDIA!$D$45:$D$51)-SUMIF(RONDOLÂNDIA!$B$45:$B$51,"DIFERENÇA",RONDOLÂNDIA!$D$45:$D$51)</f>
        <v>133138.19221983291</v>
      </c>
      <c r="F149" s="48">
        <f>SUMIF(PARANORTE!$D$108:$D$127,"MONTANTE ATUALIZADO",PARANORTE!$E$108:$E$127)-SUMIF(PARANORTE!$D$108:$D$127,"DIFERENÇA",PARANORTE!$E$108:$E$127)</f>
        <v>1044529.5757987499</v>
      </c>
      <c r="G149" s="48">
        <f>SUMIF(GUARIBA!D48:D53,"MONTANTE ATUALIZADO",GUARIBA!E48:E53)-SUMIF(GUARIBA!D48:D53,"DIFERENÇA",GUARIBA!E48:E53)</f>
        <v>15589456.979999997</v>
      </c>
    </row>
    <row r="150" spans="2:8" ht="16.5" customHeight="1">
      <c r="E150" s="3"/>
      <c r="F150" s="3"/>
    </row>
    <row r="151" spans="2:8" ht="34.5" customHeight="1">
      <c r="B151" s="99" t="s">
        <v>51</v>
      </c>
      <c r="C151" s="99"/>
      <c r="D151" s="99"/>
      <c r="E151" s="99"/>
      <c r="F151" s="99"/>
      <c r="G151" s="99"/>
      <c r="H151" s="99"/>
    </row>
  </sheetData>
  <mergeCells count="1">
    <mergeCell ref="B151:H15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1187"/>
  <sheetViews>
    <sheetView showGridLines="0" zoomScale="85" zoomScaleNormal="85" workbookViewId="0">
      <pane xSplit="3" ySplit="8" topLeftCell="D136" activePane="bottomRight" state="frozen"/>
      <selection activeCell="D12" sqref="D12"/>
      <selection pane="topRight" activeCell="D12" sqref="D12"/>
      <selection pane="bottomLeft" activeCell="D12" sqref="D12"/>
      <selection pane="bottomRight" activeCell="E174" sqref="E174"/>
    </sheetView>
  </sheetViews>
  <sheetFormatPr defaultColWidth="9.1796875" defaultRowHeight="14.5"/>
  <cols>
    <col min="1" max="1" width="3.7265625" style="11" customWidth="1"/>
    <col min="2" max="2" width="16.26953125" style="11" customWidth="1"/>
    <col min="3" max="3" width="18.26953125" style="11" customWidth="1"/>
    <col min="4" max="4" width="41.453125" style="11" customWidth="1"/>
    <col min="5" max="12" width="22.54296875" style="11" customWidth="1"/>
    <col min="13" max="13" width="11.1796875" style="11" bestFit="1" customWidth="1"/>
    <col min="14" max="14" width="15.453125" style="9" bestFit="1" customWidth="1"/>
    <col min="15" max="16" width="20.7265625" style="24" customWidth="1"/>
    <col min="17" max="16384" width="9.1796875" style="11"/>
  </cols>
  <sheetData>
    <row r="1" spans="2:16" s="1" customFormat="1"/>
    <row r="2" spans="2:16" s="1" customFormat="1" ht="24">
      <c r="D2" s="4" t="s">
        <v>40</v>
      </c>
      <c r="H2" s="2"/>
    </row>
    <row r="3" spans="2:16" s="1" customFormat="1" ht="24">
      <c r="D3" s="4" t="s">
        <v>35</v>
      </c>
      <c r="H3" s="2"/>
    </row>
    <row r="4" spans="2:16" ht="16">
      <c r="B4" s="60"/>
      <c r="C4" s="58"/>
      <c r="E4" s="10"/>
      <c r="F4" s="49"/>
      <c r="G4" s="10"/>
      <c r="H4" s="10"/>
      <c r="I4" s="10"/>
      <c r="J4" s="10"/>
      <c r="K4" s="10"/>
      <c r="L4" s="10"/>
      <c r="M4" s="10"/>
      <c r="O4" s="11"/>
      <c r="P4" s="11"/>
    </row>
    <row r="5" spans="2:16" ht="16">
      <c r="B5" s="60" t="s">
        <v>60</v>
      </c>
      <c r="D5" s="60" t="s">
        <v>62</v>
      </c>
      <c r="E5" s="10"/>
      <c r="F5" s="49"/>
      <c r="G5" s="10"/>
      <c r="H5" s="10"/>
      <c r="I5" s="10"/>
      <c r="J5" s="10"/>
      <c r="K5" s="10"/>
      <c r="L5" s="10"/>
      <c r="M5" s="10"/>
      <c r="O5" s="11"/>
      <c r="P5" s="11"/>
    </row>
    <row r="6" spans="2:16" ht="16">
      <c r="B6" s="60" t="s">
        <v>61</v>
      </c>
      <c r="D6" s="60" t="s">
        <v>70</v>
      </c>
      <c r="E6" s="10"/>
      <c r="F6" s="49"/>
      <c r="G6" s="10"/>
      <c r="H6" s="10"/>
      <c r="I6" s="10"/>
      <c r="J6" s="10"/>
      <c r="K6" s="10"/>
      <c r="L6" s="10"/>
      <c r="M6" s="10"/>
      <c r="O6" s="11"/>
      <c r="P6" s="11"/>
    </row>
    <row r="7" spans="2:16" ht="16">
      <c r="B7" s="60"/>
      <c r="C7" s="58"/>
      <c r="E7" s="10"/>
      <c r="F7" s="49"/>
      <c r="G7" s="10"/>
      <c r="H7" s="10"/>
      <c r="I7" s="10"/>
      <c r="J7" s="10"/>
      <c r="K7" s="10"/>
      <c r="L7" s="10"/>
      <c r="M7" s="10"/>
      <c r="O7" s="11"/>
      <c r="P7" s="11"/>
    </row>
    <row r="8" spans="2:16" s="9" customFormat="1" ht="27">
      <c r="B8" s="30" t="s">
        <v>34</v>
      </c>
      <c r="C8" s="30" t="s">
        <v>52</v>
      </c>
      <c r="D8" s="30" t="s">
        <v>53</v>
      </c>
      <c r="E8" s="30" t="s">
        <v>54</v>
      </c>
      <c r="F8" s="30" t="s">
        <v>55</v>
      </c>
      <c r="G8" s="30" t="s">
        <v>3</v>
      </c>
      <c r="H8" s="30" t="s">
        <v>64</v>
      </c>
      <c r="I8" s="30" t="s">
        <v>2</v>
      </c>
      <c r="J8" s="30" t="s">
        <v>59</v>
      </c>
      <c r="K8" s="30" t="s">
        <v>73</v>
      </c>
      <c r="L8" s="30" t="s">
        <v>74</v>
      </c>
    </row>
    <row r="9" spans="2:16" ht="20.149999999999999" customHeight="1">
      <c r="B9" s="61">
        <v>41579</v>
      </c>
      <c r="C9" s="61">
        <v>41640</v>
      </c>
      <c r="D9" s="62" t="s">
        <v>0</v>
      </c>
      <c r="E9" s="69">
        <v>637.56899999999996</v>
      </c>
      <c r="F9" s="66">
        <v>0.7</v>
      </c>
      <c r="G9" s="62">
        <v>0.3</v>
      </c>
      <c r="H9" s="70">
        <v>2.2400000000000002</v>
      </c>
      <c r="I9" s="70">
        <v>73.37</v>
      </c>
      <c r="J9" s="65">
        <f t="shared" ref="J9:J50" si="0">E9*F9*(1000*G9*H9-I9)</f>
        <v>267167.55132899998</v>
      </c>
      <c r="K9" s="65"/>
      <c r="L9" s="65"/>
      <c r="N9" s="11"/>
      <c r="O9" s="11"/>
      <c r="P9" s="11"/>
    </row>
    <row r="10" spans="2:16" ht="20.149999999999999" customHeight="1">
      <c r="B10" s="61">
        <v>41609</v>
      </c>
      <c r="C10" s="61">
        <v>41671</v>
      </c>
      <c r="D10" s="62" t="s">
        <v>0</v>
      </c>
      <c r="E10" s="69">
        <v>480.44499999999999</v>
      </c>
      <c r="F10" s="66">
        <v>0.7</v>
      </c>
      <c r="G10" s="62">
        <v>0.3</v>
      </c>
      <c r="H10" s="70">
        <v>2.3159999999999998</v>
      </c>
      <c r="I10" s="70">
        <v>73.37</v>
      </c>
      <c r="J10" s="65">
        <f t="shared" si="0"/>
        <v>208994.05544499998</v>
      </c>
      <c r="K10" s="65"/>
      <c r="L10" s="65"/>
      <c r="N10" s="11"/>
      <c r="O10" s="11"/>
      <c r="P10" s="11"/>
    </row>
    <row r="11" spans="2:16" ht="20.149999999999999" customHeight="1">
      <c r="B11" s="61">
        <v>41640</v>
      </c>
      <c r="C11" s="61">
        <v>41699</v>
      </c>
      <c r="D11" s="62" t="s">
        <v>0</v>
      </c>
      <c r="E11" s="69">
        <v>297.30700000000002</v>
      </c>
      <c r="F11" s="66">
        <v>0.7</v>
      </c>
      <c r="G11" s="62">
        <v>0.3</v>
      </c>
      <c r="H11" s="70">
        <v>2.3809999999999998</v>
      </c>
      <c r="I11" s="70">
        <v>73.37</v>
      </c>
      <c r="J11" s="65">
        <f t="shared" si="0"/>
        <v>133387.082857</v>
      </c>
      <c r="K11" s="65"/>
      <c r="L11" s="65"/>
      <c r="N11" s="11"/>
      <c r="O11" s="11"/>
      <c r="P11" s="11"/>
    </row>
    <row r="12" spans="2:16" ht="20.149999999999999" customHeight="1">
      <c r="B12" s="61">
        <v>41671</v>
      </c>
      <c r="C12" s="61">
        <v>41730</v>
      </c>
      <c r="D12" s="62" t="s">
        <v>0</v>
      </c>
      <c r="E12" s="69">
        <v>116.352</v>
      </c>
      <c r="F12" s="66">
        <v>0.7</v>
      </c>
      <c r="G12" s="62">
        <v>0.3</v>
      </c>
      <c r="H12" s="70">
        <v>2.3969999999999998</v>
      </c>
      <c r="I12" s="70">
        <v>73.37</v>
      </c>
      <c r="J12" s="65">
        <f t="shared" si="0"/>
        <v>52592.383871999991</v>
      </c>
      <c r="K12" s="65"/>
      <c r="L12" s="65"/>
      <c r="N12" s="11"/>
      <c r="O12" s="11"/>
      <c r="P12" s="11"/>
    </row>
    <row r="13" spans="2:16" ht="20.149999999999999" customHeight="1">
      <c r="B13" s="61">
        <v>41699</v>
      </c>
      <c r="C13" s="61">
        <v>41760</v>
      </c>
      <c r="D13" s="62" t="s">
        <v>0</v>
      </c>
      <c r="E13" s="69">
        <v>238.63300000000001</v>
      </c>
      <c r="F13" s="66">
        <v>0.7</v>
      </c>
      <c r="G13" s="62">
        <v>0.3</v>
      </c>
      <c r="H13" s="70">
        <v>2.407</v>
      </c>
      <c r="I13" s="70">
        <v>73.37</v>
      </c>
      <c r="J13" s="65">
        <f t="shared" si="0"/>
        <v>108365.870263</v>
      </c>
      <c r="K13" s="65"/>
      <c r="L13" s="65"/>
      <c r="N13" s="11"/>
      <c r="O13" s="11"/>
      <c r="P13" s="11"/>
    </row>
    <row r="14" spans="2:16" ht="20.149999999999999" customHeight="1">
      <c r="B14" s="61">
        <v>41730</v>
      </c>
      <c r="C14" s="61">
        <v>41791</v>
      </c>
      <c r="D14" s="62" t="s">
        <v>0</v>
      </c>
      <c r="E14" s="69">
        <v>332.41300000000001</v>
      </c>
      <c r="F14" s="66">
        <v>0.7</v>
      </c>
      <c r="G14" s="62">
        <v>0.3</v>
      </c>
      <c r="H14" s="70">
        <v>2.395</v>
      </c>
      <c r="I14" s="70">
        <v>73.37</v>
      </c>
      <c r="J14" s="65">
        <f t="shared" si="0"/>
        <v>150114.719083</v>
      </c>
      <c r="K14" s="65"/>
      <c r="L14" s="65"/>
      <c r="N14" s="11"/>
      <c r="O14" s="11"/>
      <c r="P14" s="11"/>
    </row>
    <row r="15" spans="2:16" ht="20.149999999999999" customHeight="1">
      <c r="B15" s="61">
        <v>41760</v>
      </c>
      <c r="C15" s="61">
        <v>41821</v>
      </c>
      <c r="D15" s="62" t="s">
        <v>0</v>
      </c>
      <c r="E15" s="69">
        <v>298.69299999999998</v>
      </c>
      <c r="F15" s="66">
        <v>0.7</v>
      </c>
      <c r="G15" s="62">
        <v>0.3</v>
      </c>
      <c r="H15" s="70">
        <v>2.403</v>
      </c>
      <c r="I15" s="70">
        <v>73.37</v>
      </c>
      <c r="J15" s="65">
        <f t="shared" si="0"/>
        <v>135388.87480299998</v>
      </c>
      <c r="K15" s="65"/>
      <c r="L15" s="65"/>
      <c r="N15" s="11"/>
      <c r="O15" s="11"/>
      <c r="P15" s="11"/>
    </row>
    <row r="16" spans="2:16" ht="20.149999999999999" customHeight="1">
      <c r="B16" s="61">
        <v>41791</v>
      </c>
      <c r="C16" s="61">
        <v>41852</v>
      </c>
      <c r="D16" s="62" t="s">
        <v>0</v>
      </c>
      <c r="E16" s="69">
        <v>350.197</v>
      </c>
      <c r="F16" s="66">
        <v>0.7</v>
      </c>
      <c r="G16" s="62">
        <v>0.3</v>
      </c>
      <c r="H16" s="70">
        <v>2.407</v>
      </c>
      <c r="I16" s="70">
        <v>73.37</v>
      </c>
      <c r="J16" s="65">
        <f t="shared" si="0"/>
        <v>159028.30986699997</v>
      </c>
      <c r="K16" s="65"/>
      <c r="L16" s="65"/>
      <c r="N16" s="11"/>
      <c r="O16" s="11"/>
      <c r="P16" s="11"/>
    </row>
    <row r="17" spans="2:16" ht="20.149999999999999" customHeight="1">
      <c r="B17" s="61">
        <v>41821</v>
      </c>
      <c r="C17" s="61">
        <v>41883</v>
      </c>
      <c r="D17" s="62" t="s">
        <v>0</v>
      </c>
      <c r="E17" s="69">
        <v>447.63600000000002</v>
      </c>
      <c r="F17" s="66">
        <v>0.7</v>
      </c>
      <c r="G17" s="62">
        <v>0.3</v>
      </c>
      <c r="H17" s="70">
        <v>2.4089999999999998</v>
      </c>
      <c r="I17" s="70">
        <v>73.37</v>
      </c>
      <c r="J17" s="65">
        <f t="shared" si="0"/>
        <v>203464.43871599998</v>
      </c>
      <c r="K17" s="65"/>
      <c r="L17" s="65"/>
      <c r="N17" s="11"/>
      <c r="O17" s="11"/>
      <c r="P17" s="11"/>
    </row>
    <row r="18" spans="2:16" ht="20.149999999999999" customHeight="1">
      <c r="B18" s="61">
        <v>41852</v>
      </c>
      <c r="C18" s="61">
        <v>41913</v>
      </c>
      <c r="D18" s="62" t="s">
        <v>0</v>
      </c>
      <c r="E18" s="69">
        <v>637.50699999999995</v>
      </c>
      <c r="F18" s="66">
        <v>0.7</v>
      </c>
      <c r="G18" s="62">
        <v>0.3</v>
      </c>
      <c r="H18" s="70">
        <v>2.411</v>
      </c>
      <c r="I18" s="70">
        <v>73.37</v>
      </c>
      <c r="J18" s="65">
        <f t="shared" si="0"/>
        <v>290034.44715699996</v>
      </c>
      <c r="K18" s="65"/>
      <c r="L18" s="65"/>
      <c r="N18" s="11"/>
      <c r="O18" s="11"/>
      <c r="P18" s="11"/>
    </row>
    <row r="19" spans="2:16" ht="20.149999999999999" customHeight="1">
      <c r="B19" s="61">
        <v>41883</v>
      </c>
      <c r="C19" s="61">
        <v>41944</v>
      </c>
      <c r="D19" s="62" t="s">
        <v>0</v>
      </c>
      <c r="E19" s="69">
        <v>708.45699999999999</v>
      </c>
      <c r="F19" s="66">
        <v>0.7</v>
      </c>
      <c r="G19" s="62">
        <v>0.3</v>
      </c>
      <c r="H19" s="70">
        <v>2.4260000000000002</v>
      </c>
      <c r="I19" s="70">
        <v>73.37</v>
      </c>
      <c r="J19" s="65">
        <f t="shared" si="0"/>
        <v>324544.86015700002</v>
      </c>
      <c r="K19" s="65"/>
      <c r="L19" s="65"/>
      <c r="N19" s="11"/>
      <c r="O19" s="11"/>
      <c r="P19" s="11"/>
    </row>
    <row r="20" spans="2:16" ht="20.149999999999999" customHeight="1">
      <c r="B20" s="61">
        <v>41913</v>
      </c>
      <c r="C20" s="61">
        <v>41974</v>
      </c>
      <c r="D20" s="62" t="s">
        <v>0</v>
      </c>
      <c r="E20" s="69">
        <v>749.30100000000004</v>
      </c>
      <c r="F20" s="66">
        <v>0.7</v>
      </c>
      <c r="G20" s="62">
        <v>0.3</v>
      </c>
      <c r="H20" s="70">
        <v>2.411</v>
      </c>
      <c r="I20" s="70">
        <v>73.37</v>
      </c>
      <c r="J20" s="65">
        <f t="shared" si="0"/>
        <v>340895.23925099999</v>
      </c>
      <c r="K20" s="65"/>
      <c r="L20" s="65"/>
      <c r="N20" s="11"/>
      <c r="O20" s="11"/>
      <c r="P20" s="11"/>
    </row>
    <row r="21" spans="2:16" ht="20.149999999999999" customHeight="1">
      <c r="B21" s="6">
        <v>41944</v>
      </c>
      <c r="C21" s="6">
        <v>42005</v>
      </c>
      <c r="D21" s="14" t="s">
        <v>0</v>
      </c>
      <c r="E21" s="50">
        <v>516.78300000000002</v>
      </c>
      <c r="F21" s="71">
        <v>0.7</v>
      </c>
      <c r="G21" s="14">
        <v>0.3</v>
      </c>
      <c r="H21" s="72">
        <v>2.4700000000000002</v>
      </c>
      <c r="I21" s="72">
        <v>73.37</v>
      </c>
      <c r="J21" s="7">
        <f t="shared" si="0"/>
        <v>241513.88400300001</v>
      </c>
      <c r="K21" s="7"/>
      <c r="L21" s="7"/>
      <c r="N21" s="11"/>
      <c r="O21" s="11"/>
      <c r="P21" s="11"/>
    </row>
    <row r="22" spans="2:16" ht="20.149999999999999" customHeight="1">
      <c r="B22" s="6">
        <v>41974</v>
      </c>
      <c r="C22" s="6">
        <v>42036</v>
      </c>
      <c r="D22" s="14" t="s">
        <v>0</v>
      </c>
      <c r="E22" s="50">
        <v>440.76499999999999</v>
      </c>
      <c r="F22" s="71">
        <v>0.7</v>
      </c>
      <c r="G22" s="14">
        <v>0.3</v>
      </c>
      <c r="H22" s="72">
        <v>2.5209999999999999</v>
      </c>
      <c r="I22" s="72">
        <v>73.37</v>
      </c>
      <c r="J22" s="7">
        <f t="shared" si="0"/>
        <v>210708.14901499994</v>
      </c>
      <c r="K22" s="7"/>
      <c r="L22" s="7"/>
      <c r="N22" s="11"/>
      <c r="O22" s="11"/>
      <c r="P22" s="11"/>
    </row>
    <row r="23" spans="2:16" ht="20.149999999999999" customHeight="1">
      <c r="B23" s="6">
        <v>42005</v>
      </c>
      <c r="C23" s="6">
        <v>42064</v>
      </c>
      <c r="D23" s="14" t="s">
        <v>0</v>
      </c>
      <c r="E23" s="50">
        <v>408.52600000000001</v>
      </c>
      <c r="F23" s="71">
        <v>0.5</v>
      </c>
      <c r="G23" s="14">
        <v>0.3</v>
      </c>
      <c r="H23" s="72">
        <v>2.5430000000000001</v>
      </c>
      <c r="I23" s="72">
        <v>73.37</v>
      </c>
      <c r="J23" s="7">
        <f t="shared" si="0"/>
        <v>140845.46639000002</v>
      </c>
      <c r="K23" s="7"/>
      <c r="L23" s="7"/>
      <c r="N23" s="11"/>
      <c r="O23" s="11"/>
      <c r="P23" s="11"/>
    </row>
    <row r="24" spans="2:16" ht="20.149999999999999" customHeight="1">
      <c r="B24" s="6">
        <v>42036</v>
      </c>
      <c r="C24" s="6">
        <v>42095</v>
      </c>
      <c r="D24" s="14" t="s">
        <v>0</v>
      </c>
      <c r="E24" s="50">
        <v>400.57299999999998</v>
      </c>
      <c r="F24" s="71">
        <v>0.5</v>
      </c>
      <c r="G24" s="14">
        <v>0.3</v>
      </c>
      <c r="H24" s="72">
        <v>2.613</v>
      </c>
      <c r="I24" s="72">
        <v>73.37</v>
      </c>
      <c r="J24" s="7">
        <f t="shared" si="0"/>
        <v>142309.56684499999</v>
      </c>
      <c r="K24" s="7"/>
      <c r="L24" s="7"/>
      <c r="N24" s="11"/>
      <c r="O24" s="11"/>
      <c r="P24" s="11"/>
    </row>
    <row r="25" spans="2:16" ht="20.149999999999999" customHeight="1">
      <c r="B25" s="6">
        <v>42064</v>
      </c>
      <c r="C25" s="6">
        <v>42125</v>
      </c>
      <c r="D25" s="14" t="s">
        <v>0</v>
      </c>
      <c r="E25" s="50">
        <v>437.24200000000002</v>
      </c>
      <c r="F25" s="71">
        <v>0.5</v>
      </c>
      <c r="G25" s="14">
        <v>0.3</v>
      </c>
      <c r="H25" s="72">
        <v>2.6859999999999999</v>
      </c>
      <c r="I25" s="72">
        <v>73.37</v>
      </c>
      <c r="J25" s="7">
        <f t="shared" si="0"/>
        <v>160124.57902999999</v>
      </c>
      <c r="K25" s="7"/>
      <c r="L25" s="7"/>
      <c r="N25" s="11"/>
      <c r="O25" s="11"/>
      <c r="P25" s="11"/>
    </row>
    <row r="26" spans="2:16" ht="20.149999999999999" customHeight="1">
      <c r="B26" s="6">
        <v>42095</v>
      </c>
      <c r="C26" s="6">
        <v>42156</v>
      </c>
      <c r="D26" s="14" t="s">
        <v>0</v>
      </c>
      <c r="E26" s="50">
        <v>355.82299999999998</v>
      </c>
      <c r="F26" s="71">
        <v>0.5</v>
      </c>
      <c r="G26" s="14">
        <v>0.3</v>
      </c>
      <c r="H26" s="72">
        <v>2.6840000000000002</v>
      </c>
      <c r="I26" s="72">
        <v>73.37</v>
      </c>
      <c r="J26" s="7">
        <f t="shared" si="0"/>
        <v>130200.97304500001</v>
      </c>
      <c r="K26" s="7"/>
      <c r="L26" s="7"/>
      <c r="N26" s="11"/>
      <c r="O26" s="11"/>
      <c r="P26" s="11"/>
    </row>
    <row r="27" spans="2:16" ht="20.149999999999999" customHeight="1">
      <c r="B27" s="6">
        <v>42125</v>
      </c>
      <c r="C27" s="6">
        <v>42186</v>
      </c>
      <c r="D27" s="14" t="s">
        <v>0</v>
      </c>
      <c r="E27" s="50">
        <v>369.29599999999999</v>
      </c>
      <c r="F27" s="71">
        <v>0.5</v>
      </c>
      <c r="G27" s="14">
        <v>0.3</v>
      </c>
      <c r="H27" s="72">
        <v>2.7109999999999999</v>
      </c>
      <c r="I27" s="72">
        <v>73.37</v>
      </c>
      <c r="J27" s="7">
        <f t="shared" si="0"/>
        <v>136626.59464</v>
      </c>
      <c r="K27" s="7"/>
      <c r="L27" s="7"/>
      <c r="N27" s="11"/>
      <c r="O27" s="11"/>
      <c r="P27" s="11"/>
    </row>
    <row r="28" spans="2:16" ht="20.149999999999999" customHeight="1">
      <c r="B28" s="6">
        <v>42156</v>
      </c>
      <c r="C28" s="6">
        <v>42217</v>
      </c>
      <c r="D28" s="14" t="s">
        <v>0</v>
      </c>
      <c r="E28" s="50">
        <v>390.54</v>
      </c>
      <c r="F28" s="71">
        <v>0.5</v>
      </c>
      <c r="G28" s="14">
        <v>0.3</v>
      </c>
      <c r="H28" s="72">
        <v>2.7240000000000002</v>
      </c>
      <c r="I28" s="72">
        <v>73.37</v>
      </c>
      <c r="J28" s="7">
        <f t="shared" si="0"/>
        <v>145247.68410000001</v>
      </c>
      <c r="K28" s="7"/>
      <c r="L28" s="7"/>
      <c r="N28" s="11"/>
      <c r="O28" s="11"/>
      <c r="P28" s="11"/>
    </row>
    <row r="29" spans="2:16" ht="20.149999999999999" customHeight="1">
      <c r="B29" s="6">
        <v>42186</v>
      </c>
      <c r="C29" s="6">
        <v>42248</v>
      </c>
      <c r="D29" s="14" t="s">
        <v>0</v>
      </c>
      <c r="E29" s="50">
        <v>372.43700000000001</v>
      </c>
      <c r="F29" s="71">
        <v>0.5</v>
      </c>
      <c r="G29" s="14">
        <v>0.3</v>
      </c>
      <c r="H29" s="72">
        <v>2.7389999999999999</v>
      </c>
      <c r="I29" s="72">
        <v>73.37</v>
      </c>
      <c r="J29" s="7">
        <f t="shared" si="0"/>
        <v>139352.890105</v>
      </c>
      <c r="K29" s="7"/>
      <c r="L29" s="7"/>
      <c r="N29" s="11"/>
      <c r="O29" s="11"/>
      <c r="P29" s="11"/>
    </row>
    <row r="30" spans="2:16" ht="20.149999999999999" customHeight="1">
      <c r="B30" s="6">
        <v>42217</v>
      </c>
      <c r="C30" s="6">
        <v>42278</v>
      </c>
      <c r="D30" s="14" t="s">
        <v>0</v>
      </c>
      <c r="E30" s="50">
        <v>625.79300000000001</v>
      </c>
      <c r="F30" s="71">
        <v>0.5</v>
      </c>
      <c r="G30" s="14">
        <v>0.3</v>
      </c>
      <c r="H30" s="72">
        <v>2.7610000000000001</v>
      </c>
      <c r="I30" s="72">
        <v>73.37</v>
      </c>
      <c r="J30" s="7">
        <f t="shared" si="0"/>
        <v>236214.95474500002</v>
      </c>
      <c r="K30" s="7"/>
      <c r="L30" s="7"/>
      <c r="N30" s="11"/>
      <c r="O30" s="11"/>
      <c r="P30" s="11"/>
    </row>
    <row r="31" spans="2:16" ht="20.149999999999999" customHeight="1">
      <c r="B31" s="6">
        <v>42248</v>
      </c>
      <c r="C31" s="6">
        <v>42309</v>
      </c>
      <c r="D31" s="14" t="s">
        <v>0</v>
      </c>
      <c r="E31" s="50">
        <v>712.04</v>
      </c>
      <c r="F31" s="71">
        <v>0.5</v>
      </c>
      <c r="G31" s="14">
        <v>0.3</v>
      </c>
      <c r="H31" s="72">
        <v>2.766</v>
      </c>
      <c r="I31" s="72">
        <v>73.37</v>
      </c>
      <c r="J31" s="7">
        <f t="shared" si="0"/>
        <v>269304.20859999995</v>
      </c>
      <c r="K31" s="7"/>
      <c r="L31" s="7"/>
      <c r="N31" s="11"/>
      <c r="O31" s="11"/>
      <c r="P31" s="11"/>
    </row>
    <row r="32" spans="2:16" ht="20.149999999999999" customHeight="1">
      <c r="B32" s="6">
        <v>42278</v>
      </c>
      <c r="C32" s="6">
        <v>42339</v>
      </c>
      <c r="D32" s="14" t="s">
        <v>0</v>
      </c>
      <c r="E32" s="50">
        <v>605.52700000000004</v>
      </c>
      <c r="F32" s="71">
        <v>0.5</v>
      </c>
      <c r="G32" s="14">
        <v>0.3</v>
      </c>
      <c r="H32" s="72">
        <v>2.85</v>
      </c>
      <c r="I32" s="72">
        <v>73.37</v>
      </c>
      <c r="J32" s="7">
        <f t="shared" si="0"/>
        <v>236649.03450500002</v>
      </c>
      <c r="K32" s="7"/>
      <c r="L32" s="7"/>
      <c r="N32" s="11"/>
      <c r="O32" s="11"/>
      <c r="P32" s="11"/>
    </row>
    <row r="33" spans="2:16" ht="20.149999999999999" customHeight="1">
      <c r="B33" s="61">
        <v>42309</v>
      </c>
      <c r="C33" s="61">
        <v>42370</v>
      </c>
      <c r="D33" s="62" t="s">
        <v>0</v>
      </c>
      <c r="E33" s="69">
        <v>506.59699999999998</v>
      </c>
      <c r="F33" s="66">
        <v>0.5</v>
      </c>
      <c r="G33" s="62">
        <v>0.3</v>
      </c>
      <c r="H33" s="70">
        <v>2.9039999999999999</v>
      </c>
      <c r="I33" s="70">
        <v>73.37</v>
      </c>
      <c r="J33" s="65">
        <f t="shared" si="0"/>
        <v>202089.14225499998</v>
      </c>
      <c r="K33" s="65"/>
      <c r="L33" s="65"/>
      <c r="N33" s="11"/>
      <c r="O33" s="11"/>
      <c r="P33" s="11"/>
    </row>
    <row r="34" spans="2:16" ht="20.149999999999999" customHeight="1">
      <c r="B34" s="61">
        <v>42339</v>
      </c>
      <c r="C34" s="61">
        <v>42401</v>
      </c>
      <c r="D34" s="62" t="s">
        <v>0</v>
      </c>
      <c r="E34" s="69">
        <v>561.08900000000006</v>
      </c>
      <c r="F34" s="66">
        <v>0.5</v>
      </c>
      <c r="G34" s="62">
        <v>0.3</v>
      </c>
      <c r="H34" s="70">
        <v>2.9180000000000001</v>
      </c>
      <c r="I34" s="70">
        <v>73.37</v>
      </c>
      <c r="J34" s="65">
        <f t="shared" si="0"/>
        <v>225005.10533500006</v>
      </c>
      <c r="K34" s="65"/>
      <c r="L34" s="65"/>
      <c r="N34" s="11"/>
      <c r="O34" s="11"/>
      <c r="P34" s="11"/>
    </row>
    <row r="35" spans="2:16" ht="20.149999999999999" customHeight="1">
      <c r="B35" s="61">
        <v>42370</v>
      </c>
      <c r="C35" s="61">
        <v>42430</v>
      </c>
      <c r="D35" s="62" t="s">
        <v>0</v>
      </c>
      <c r="E35" s="69">
        <v>456.202</v>
      </c>
      <c r="F35" s="66">
        <v>0.5</v>
      </c>
      <c r="G35" s="62">
        <v>0.3</v>
      </c>
      <c r="H35" s="70">
        <v>2.9529999999999998</v>
      </c>
      <c r="I35" s="70">
        <v>73.37</v>
      </c>
      <c r="J35" s="65">
        <f t="shared" si="0"/>
        <v>185338.90552999999</v>
      </c>
      <c r="K35" s="65"/>
      <c r="L35" s="65"/>
      <c r="N35" s="11"/>
      <c r="O35" s="11"/>
      <c r="P35" s="11"/>
    </row>
    <row r="36" spans="2:16" ht="20.149999999999999" customHeight="1">
      <c r="B36" s="61">
        <v>42401</v>
      </c>
      <c r="C36" s="61">
        <v>42461</v>
      </c>
      <c r="D36" s="62" t="s">
        <v>0</v>
      </c>
      <c r="E36" s="69">
        <v>504.00900000000001</v>
      </c>
      <c r="F36" s="66">
        <v>0.5</v>
      </c>
      <c r="G36" s="62">
        <v>0.3</v>
      </c>
      <c r="H36" s="70">
        <v>2.9420000000000002</v>
      </c>
      <c r="I36" s="70">
        <v>73.37</v>
      </c>
      <c r="J36" s="65">
        <f t="shared" si="0"/>
        <v>203929.60153500002</v>
      </c>
      <c r="K36" s="65"/>
      <c r="L36" s="65"/>
      <c r="N36" s="11"/>
      <c r="O36" s="11"/>
      <c r="P36" s="11"/>
    </row>
    <row r="37" spans="2:16" ht="20.149999999999999" customHeight="1">
      <c r="B37" s="61">
        <v>42430</v>
      </c>
      <c r="C37" s="61">
        <v>42491</v>
      </c>
      <c r="D37" s="62" t="s">
        <v>0</v>
      </c>
      <c r="E37" s="69">
        <v>542.31500000000005</v>
      </c>
      <c r="F37" s="66">
        <v>0.5</v>
      </c>
      <c r="G37" s="62">
        <v>0.3</v>
      </c>
      <c r="H37" s="70">
        <v>2.9430000000000001</v>
      </c>
      <c r="I37" s="70">
        <v>73.37</v>
      </c>
      <c r="J37" s="65">
        <f t="shared" si="0"/>
        <v>219510.13097500001</v>
      </c>
      <c r="K37" s="65"/>
      <c r="L37" s="65"/>
      <c r="N37" s="11"/>
      <c r="O37" s="11"/>
      <c r="P37" s="11"/>
    </row>
    <row r="38" spans="2:16" ht="20.149999999999999" customHeight="1">
      <c r="B38" s="61">
        <v>42461</v>
      </c>
      <c r="C38" s="61">
        <v>42522</v>
      </c>
      <c r="D38" s="62" t="s">
        <v>0</v>
      </c>
      <c r="E38" s="69">
        <v>493.07499999999999</v>
      </c>
      <c r="F38" s="66">
        <v>0.5</v>
      </c>
      <c r="G38" s="62">
        <v>0.3</v>
      </c>
      <c r="H38" s="70">
        <v>2.931</v>
      </c>
      <c r="I38" s="70">
        <v>73.37</v>
      </c>
      <c r="J38" s="65">
        <f t="shared" si="0"/>
        <v>198691.96737500001</v>
      </c>
      <c r="K38" s="65"/>
      <c r="L38" s="65"/>
      <c r="N38" s="11"/>
      <c r="O38" s="11"/>
      <c r="P38" s="11"/>
    </row>
    <row r="39" spans="2:16" ht="20.149999999999999" customHeight="1">
      <c r="B39" s="61">
        <v>42491</v>
      </c>
      <c r="C39" s="61">
        <v>42552</v>
      </c>
      <c r="D39" s="62" t="s">
        <v>0</v>
      </c>
      <c r="E39" s="69">
        <v>453.07299999999998</v>
      </c>
      <c r="F39" s="66">
        <v>0.5</v>
      </c>
      <c r="G39" s="62">
        <v>0.3</v>
      </c>
      <c r="H39" s="70">
        <v>2.9279999999999999</v>
      </c>
      <c r="I39" s="70">
        <v>73.37</v>
      </c>
      <c r="J39" s="65">
        <f t="shared" si="0"/>
        <v>182368.67859499998</v>
      </c>
      <c r="K39" s="65"/>
      <c r="L39" s="65"/>
      <c r="N39" s="11"/>
      <c r="O39" s="11"/>
      <c r="P39" s="11"/>
    </row>
    <row r="40" spans="2:16" ht="20.149999999999999" customHeight="1">
      <c r="B40" s="61">
        <v>42522</v>
      </c>
      <c r="C40" s="61">
        <v>42583</v>
      </c>
      <c r="D40" s="62" t="s">
        <v>0</v>
      </c>
      <c r="E40" s="69">
        <v>496.887</v>
      </c>
      <c r="F40" s="66">
        <v>0.5</v>
      </c>
      <c r="G40" s="62">
        <v>0.3</v>
      </c>
      <c r="H40" s="70">
        <v>2.9249999999999998</v>
      </c>
      <c r="I40" s="70">
        <v>73.37</v>
      </c>
      <c r="J40" s="65">
        <f t="shared" si="0"/>
        <v>199780.871655</v>
      </c>
      <c r="K40" s="65"/>
      <c r="L40" s="65"/>
      <c r="N40" s="11"/>
      <c r="O40" s="11"/>
      <c r="P40" s="11"/>
    </row>
    <row r="41" spans="2:16" ht="20.149999999999999" customHeight="1">
      <c r="B41" s="61">
        <v>42552</v>
      </c>
      <c r="C41" s="61">
        <v>42614</v>
      </c>
      <c r="D41" s="62" t="s">
        <v>0</v>
      </c>
      <c r="E41" s="69">
        <v>687.01199999999994</v>
      </c>
      <c r="F41" s="66">
        <v>0.5</v>
      </c>
      <c r="G41" s="62">
        <v>0.3</v>
      </c>
      <c r="H41" s="70">
        <v>2.911</v>
      </c>
      <c r="I41" s="70">
        <v>73.37</v>
      </c>
      <c r="J41" s="65">
        <f t="shared" si="0"/>
        <v>274780.75457999995</v>
      </c>
      <c r="K41" s="65"/>
      <c r="L41" s="65"/>
      <c r="N41" s="11"/>
      <c r="O41" s="11"/>
      <c r="P41" s="11"/>
    </row>
    <row r="42" spans="2:16" ht="20.149999999999999" customHeight="1">
      <c r="B42" s="61">
        <v>42583</v>
      </c>
      <c r="C42" s="61">
        <v>42644</v>
      </c>
      <c r="D42" s="62" t="s">
        <v>0</v>
      </c>
      <c r="E42" s="69">
        <v>759.96400000000006</v>
      </c>
      <c r="F42" s="66">
        <v>0.5</v>
      </c>
      <c r="G42" s="62">
        <v>0.3</v>
      </c>
      <c r="H42" s="70">
        <v>2.931</v>
      </c>
      <c r="I42" s="70">
        <v>73.37</v>
      </c>
      <c r="J42" s="65">
        <f t="shared" si="0"/>
        <v>306238.89326000004</v>
      </c>
      <c r="K42" s="65"/>
      <c r="L42" s="65"/>
      <c r="N42" s="11"/>
      <c r="O42" s="11"/>
      <c r="P42" s="11"/>
    </row>
    <row r="43" spans="2:16" ht="20.149999999999999" customHeight="1">
      <c r="B43" s="61">
        <v>42614</v>
      </c>
      <c r="C43" s="61">
        <v>42675</v>
      </c>
      <c r="D43" s="62" t="s">
        <v>0</v>
      </c>
      <c r="E43" s="69">
        <v>692.37699999999995</v>
      </c>
      <c r="F43" s="66">
        <v>0.5</v>
      </c>
      <c r="G43" s="62">
        <v>0.3</v>
      </c>
      <c r="H43" s="70">
        <v>2.931</v>
      </c>
      <c r="I43" s="70">
        <v>73.37</v>
      </c>
      <c r="J43" s="65">
        <f t="shared" si="0"/>
        <v>279003.697805</v>
      </c>
      <c r="K43" s="65"/>
      <c r="L43" s="65"/>
      <c r="N43" s="11"/>
      <c r="O43" s="11"/>
      <c r="P43" s="11"/>
    </row>
    <row r="44" spans="2:16" ht="20.149999999999999" customHeight="1">
      <c r="B44" s="61">
        <v>42644</v>
      </c>
      <c r="C44" s="61">
        <v>42705</v>
      </c>
      <c r="D44" s="62" t="s">
        <v>0</v>
      </c>
      <c r="E44" s="69">
        <v>806.78599999999994</v>
      </c>
      <c r="F44" s="66">
        <v>0.5</v>
      </c>
      <c r="G44" s="62">
        <v>0.3</v>
      </c>
      <c r="H44" s="70">
        <v>2.907</v>
      </c>
      <c r="I44" s="70">
        <v>73.37</v>
      </c>
      <c r="J44" s="65">
        <f t="shared" si="0"/>
        <v>322202.09088999999</v>
      </c>
      <c r="K44" s="65"/>
      <c r="L44" s="65"/>
      <c r="N44" s="11"/>
      <c r="O44" s="11"/>
      <c r="P44" s="11"/>
    </row>
    <row r="45" spans="2:16" ht="20.149999999999999" customHeight="1">
      <c r="B45" s="6">
        <v>42675</v>
      </c>
      <c r="C45" s="6">
        <v>42736</v>
      </c>
      <c r="D45" s="14" t="s">
        <v>0</v>
      </c>
      <c r="E45" s="50">
        <v>677.50900000000001</v>
      </c>
      <c r="F45" s="71">
        <v>0.5</v>
      </c>
      <c r="G45" s="14">
        <v>0.3</v>
      </c>
      <c r="H45" s="72">
        <v>2.8639999999999999</v>
      </c>
      <c r="I45" s="72">
        <v>73.37</v>
      </c>
      <c r="J45" s="7">
        <f t="shared" si="0"/>
        <v>266203.44873499998</v>
      </c>
      <c r="K45" s="7"/>
      <c r="L45" s="7"/>
      <c r="N45" s="11"/>
      <c r="O45" s="11"/>
      <c r="P45" s="11"/>
    </row>
    <row r="46" spans="2:16" ht="20.149999999999999" customHeight="1">
      <c r="B46" s="6">
        <v>42705</v>
      </c>
      <c r="C46" s="6">
        <v>42767</v>
      </c>
      <c r="D46" s="14" t="s">
        <v>0</v>
      </c>
      <c r="E46" s="50">
        <v>473.02600000000001</v>
      </c>
      <c r="F46" s="71">
        <v>0.5</v>
      </c>
      <c r="G46" s="14">
        <v>0.3</v>
      </c>
      <c r="H46" s="72">
        <v>2.8330000000000002</v>
      </c>
      <c r="I46" s="72">
        <v>73.37</v>
      </c>
      <c r="J46" s="7">
        <f t="shared" si="0"/>
        <v>183659.43989000004</v>
      </c>
      <c r="K46" s="7"/>
      <c r="L46" s="7"/>
      <c r="N46" s="11"/>
      <c r="O46" s="11"/>
      <c r="P46" s="11"/>
    </row>
    <row r="47" spans="2:16" ht="20.149999999999999" customHeight="1">
      <c r="B47" s="6">
        <v>42736</v>
      </c>
      <c r="C47" s="6">
        <v>42795</v>
      </c>
      <c r="D47" s="14" t="s">
        <v>0</v>
      </c>
      <c r="E47" s="50">
        <v>358.02499999999998</v>
      </c>
      <c r="F47" s="71">
        <v>0.5</v>
      </c>
      <c r="G47" s="14">
        <v>0.3</v>
      </c>
      <c r="H47" s="72">
        <v>2.9409999999999998</v>
      </c>
      <c r="I47" s="72">
        <v>73.37</v>
      </c>
      <c r="J47" s="7">
        <f t="shared" si="0"/>
        <v>144808.58162499999</v>
      </c>
      <c r="K47" s="7"/>
      <c r="L47" s="7"/>
      <c r="N47" s="11"/>
      <c r="O47" s="11"/>
      <c r="P47" s="11"/>
    </row>
    <row r="48" spans="2:16" ht="20.149999999999999" customHeight="1">
      <c r="B48" s="6">
        <v>42767</v>
      </c>
      <c r="C48" s="6">
        <v>42826</v>
      </c>
      <c r="D48" s="14" t="s">
        <v>0</v>
      </c>
      <c r="E48" s="50">
        <v>544.99300000000005</v>
      </c>
      <c r="F48" s="14">
        <v>0.5</v>
      </c>
      <c r="G48" s="73">
        <v>0.3</v>
      </c>
      <c r="H48" s="72">
        <v>2.9359999999999999</v>
      </c>
      <c r="I48" s="7">
        <v>73.37</v>
      </c>
      <c r="J48" s="7">
        <f t="shared" si="0"/>
        <v>220021.84899500001</v>
      </c>
      <c r="K48" s="7"/>
      <c r="L48" s="7"/>
      <c r="N48" s="11"/>
      <c r="O48" s="11"/>
      <c r="P48" s="11"/>
    </row>
    <row r="49" spans="2:16" ht="20.149999999999999" customHeight="1">
      <c r="B49" s="6">
        <v>42795</v>
      </c>
      <c r="C49" s="6">
        <v>42856</v>
      </c>
      <c r="D49" s="14" t="s">
        <v>0</v>
      </c>
      <c r="E49" s="50">
        <v>432.27199999999999</v>
      </c>
      <c r="F49" s="14">
        <v>0.5</v>
      </c>
      <c r="G49" s="73">
        <v>0.3</v>
      </c>
      <c r="H49" s="72">
        <v>2.863</v>
      </c>
      <c r="I49" s="7">
        <v>73.37</v>
      </c>
      <c r="J49" s="7">
        <f t="shared" si="0"/>
        <v>169781.31208</v>
      </c>
      <c r="K49" s="7"/>
      <c r="L49" s="7"/>
      <c r="N49" s="11"/>
      <c r="O49" s="11"/>
      <c r="P49" s="11"/>
    </row>
    <row r="50" spans="2:16" ht="20.149999999999999" customHeight="1">
      <c r="B50" s="6">
        <v>42826</v>
      </c>
      <c r="C50" s="6">
        <v>42887</v>
      </c>
      <c r="D50" s="14" t="s">
        <v>0</v>
      </c>
      <c r="E50" s="50">
        <v>272.11</v>
      </c>
      <c r="F50" s="14">
        <v>0.5</v>
      </c>
      <c r="G50" s="73">
        <v>0.3</v>
      </c>
      <c r="H50" s="72">
        <v>2.8210000000000002</v>
      </c>
      <c r="I50" s="7">
        <v>73.37</v>
      </c>
      <c r="J50" s="7">
        <f t="shared" si="0"/>
        <v>105160.99115000002</v>
      </c>
      <c r="K50" s="7"/>
      <c r="L50" s="7"/>
      <c r="N50" s="11"/>
      <c r="O50" s="11"/>
      <c r="P50" s="11"/>
    </row>
    <row r="51" spans="2:16" ht="20.149999999999999" customHeight="1">
      <c r="B51" s="6">
        <v>42856</v>
      </c>
      <c r="C51" s="6">
        <v>42917</v>
      </c>
      <c r="D51" s="14" t="s">
        <v>0</v>
      </c>
      <c r="E51" s="50">
        <v>512.26</v>
      </c>
      <c r="F51" s="14">
        <v>0.5</v>
      </c>
      <c r="G51" s="73">
        <v>0.3</v>
      </c>
      <c r="H51" s="72">
        <v>2.84</v>
      </c>
      <c r="I51" s="7">
        <v>73.37</v>
      </c>
      <c r="J51" s="7">
        <f t="shared" ref="J51:J68" si="1">E51*F51*(1000*G51*H51-I51)</f>
        <v>199430.5019</v>
      </c>
      <c r="K51" s="7"/>
      <c r="L51" s="7"/>
      <c r="N51" s="11"/>
      <c r="O51" s="11"/>
      <c r="P51" s="11"/>
    </row>
    <row r="52" spans="2:16" ht="20.149999999999999" customHeight="1">
      <c r="B52" s="6">
        <v>42887</v>
      </c>
      <c r="C52" s="6">
        <v>42948</v>
      </c>
      <c r="D52" s="14" t="s">
        <v>0</v>
      </c>
      <c r="E52" s="50">
        <v>571.51</v>
      </c>
      <c r="F52" s="14">
        <v>0.5</v>
      </c>
      <c r="G52" s="73">
        <v>0.3</v>
      </c>
      <c r="H52" s="72">
        <v>2.7730000000000001</v>
      </c>
      <c r="I52" s="7">
        <v>73.37</v>
      </c>
      <c r="J52" s="7">
        <f t="shared" si="1"/>
        <v>216753.74015000003</v>
      </c>
      <c r="K52" s="7"/>
      <c r="L52" s="7"/>
      <c r="N52" s="11"/>
      <c r="O52" s="11"/>
      <c r="P52" s="11"/>
    </row>
    <row r="53" spans="2:16" ht="20.149999999999999" customHeight="1">
      <c r="B53" s="6">
        <v>42917</v>
      </c>
      <c r="C53" s="6">
        <v>42979</v>
      </c>
      <c r="D53" s="14" t="s">
        <v>0</v>
      </c>
      <c r="E53" s="50">
        <v>650.79999999999995</v>
      </c>
      <c r="F53" s="14">
        <v>0.5</v>
      </c>
      <c r="G53" s="73">
        <v>0.3</v>
      </c>
      <c r="H53" s="72">
        <v>2.7229999999999999</v>
      </c>
      <c r="I53" s="7">
        <v>73.37</v>
      </c>
      <c r="J53" s="7">
        <f t="shared" si="1"/>
        <v>241944.66199999998</v>
      </c>
      <c r="K53" s="7"/>
      <c r="L53" s="7"/>
      <c r="N53" s="11"/>
      <c r="O53" s="11"/>
      <c r="P53" s="11"/>
    </row>
    <row r="54" spans="2:16" ht="20.149999999999999" customHeight="1">
      <c r="B54" s="6">
        <v>42948</v>
      </c>
      <c r="C54" s="6">
        <v>43009</v>
      </c>
      <c r="D54" s="14" t="s">
        <v>0</v>
      </c>
      <c r="E54" s="50">
        <v>772.77499999999998</v>
      </c>
      <c r="F54" s="14">
        <v>0.5</v>
      </c>
      <c r="G54" s="73">
        <v>0.3</v>
      </c>
      <c r="H54" s="72">
        <v>2.9729999999999999</v>
      </c>
      <c r="I54" s="7">
        <v>73.37</v>
      </c>
      <c r="J54" s="7">
        <f t="shared" si="1"/>
        <v>316269.76037499995</v>
      </c>
      <c r="K54" s="7"/>
      <c r="L54" s="7"/>
      <c r="N54" s="11"/>
      <c r="O54" s="11"/>
      <c r="P54" s="11"/>
    </row>
    <row r="55" spans="2:16" ht="20.149999999999999" customHeight="1">
      <c r="B55" s="6">
        <v>42979</v>
      </c>
      <c r="C55" s="6">
        <v>43040</v>
      </c>
      <c r="D55" s="14" t="s">
        <v>0</v>
      </c>
      <c r="E55" s="50">
        <v>882.74</v>
      </c>
      <c r="F55" s="14">
        <v>0.5</v>
      </c>
      <c r="G55" s="73">
        <v>0.3</v>
      </c>
      <c r="H55" s="72">
        <v>3.08</v>
      </c>
      <c r="I55" s="7">
        <v>73.37</v>
      </c>
      <c r="J55" s="7">
        <f t="shared" si="1"/>
        <v>375442.56310000003</v>
      </c>
      <c r="K55" s="7"/>
      <c r="L55" s="7"/>
      <c r="N55" s="11"/>
      <c r="O55" s="11"/>
      <c r="P55" s="11"/>
    </row>
    <row r="56" spans="2:16" ht="20.149999999999999" customHeight="1">
      <c r="B56" s="6">
        <v>43009</v>
      </c>
      <c r="C56" s="6">
        <v>43070</v>
      </c>
      <c r="D56" s="14" t="s">
        <v>0</v>
      </c>
      <c r="E56" s="50">
        <v>705.30200000000002</v>
      </c>
      <c r="F56" s="14">
        <v>0.5</v>
      </c>
      <c r="G56" s="73">
        <v>0.3</v>
      </c>
      <c r="H56" s="72">
        <v>3.157</v>
      </c>
      <c r="I56" s="7">
        <v>73.37</v>
      </c>
      <c r="J56" s="7">
        <f t="shared" si="1"/>
        <v>308121.75823000004</v>
      </c>
      <c r="K56" s="7"/>
      <c r="L56" s="7"/>
      <c r="N56" s="11"/>
      <c r="O56" s="11"/>
      <c r="P56" s="11"/>
    </row>
    <row r="57" spans="2:16" ht="20.149999999999999" customHeight="1">
      <c r="B57" s="61">
        <v>43040</v>
      </c>
      <c r="C57" s="61">
        <v>43115</v>
      </c>
      <c r="D57" s="62" t="s">
        <v>0</v>
      </c>
      <c r="E57" s="69">
        <v>593.23599999999999</v>
      </c>
      <c r="F57" s="62">
        <v>0.5</v>
      </c>
      <c r="G57" s="74">
        <v>0.3</v>
      </c>
      <c r="H57" s="70">
        <v>3.214</v>
      </c>
      <c r="I57" s="65">
        <v>73.37</v>
      </c>
      <c r="J57" s="65">
        <f t="shared" si="1"/>
        <v>264236.21294</v>
      </c>
      <c r="K57" s="65"/>
      <c r="L57" s="65"/>
      <c r="N57" s="11"/>
      <c r="O57" s="11"/>
      <c r="P57" s="11"/>
    </row>
    <row r="58" spans="2:16" ht="20.149999999999999" customHeight="1">
      <c r="B58" s="61">
        <v>43070</v>
      </c>
      <c r="C58" s="61">
        <v>43146</v>
      </c>
      <c r="D58" s="62" t="s">
        <v>0</v>
      </c>
      <c r="E58" s="69">
        <v>565.76800000000003</v>
      </c>
      <c r="F58" s="62">
        <v>0.5</v>
      </c>
      <c r="G58" s="74">
        <v>0.3</v>
      </c>
      <c r="H58" s="70">
        <v>3.1909999999999998</v>
      </c>
      <c r="I58" s="65">
        <v>73.37</v>
      </c>
      <c r="J58" s="65">
        <f t="shared" si="1"/>
        <v>250049.65411999999</v>
      </c>
      <c r="K58" s="65"/>
      <c r="L58" s="65"/>
      <c r="N58" s="11"/>
      <c r="O58" s="11"/>
      <c r="P58" s="11"/>
    </row>
    <row r="59" spans="2:16" ht="20.149999999999999" customHeight="1">
      <c r="B59" s="61">
        <v>43101</v>
      </c>
      <c r="C59" s="61">
        <v>43174</v>
      </c>
      <c r="D59" s="62" t="s">
        <v>0</v>
      </c>
      <c r="E59" s="69">
        <v>386.37700000000001</v>
      </c>
      <c r="F59" s="62">
        <v>0.5</v>
      </c>
      <c r="G59" s="74">
        <v>0.3</v>
      </c>
      <c r="H59" s="70">
        <v>3.2549999999999999</v>
      </c>
      <c r="I59" s="65">
        <v>73.37</v>
      </c>
      <c r="J59" s="65">
        <f t="shared" si="1"/>
        <v>174474.330005</v>
      </c>
      <c r="K59" s="65"/>
      <c r="L59" s="65"/>
      <c r="N59" s="11"/>
      <c r="O59" s="11"/>
      <c r="P59" s="11"/>
    </row>
    <row r="60" spans="2:16" ht="20.149999999999999" customHeight="1">
      <c r="B60" s="61">
        <v>43132</v>
      </c>
      <c r="C60" s="61">
        <v>43205</v>
      </c>
      <c r="D60" s="62" t="s">
        <v>0</v>
      </c>
      <c r="E60" s="69">
        <v>457.767</v>
      </c>
      <c r="F60" s="62">
        <v>0.5</v>
      </c>
      <c r="G60" s="74">
        <v>0.3</v>
      </c>
      <c r="H60" s="70">
        <v>3.2320000000000002</v>
      </c>
      <c r="I60" s="65">
        <v>73.37</v>
      </c>
      <c r="J60" s="65">
        <f t="shared" si="1"/>
        <v>205132.25920500001</v>
      </c>
      <c r="K60" s="65"/>
      <c r="L60" s="65"/>
      <c r="N60" s="11"/>
      <c r="O60" s="11"/>
      <c r="P60" s="11"/>
    </row>
    <row r="61" spans="2:16" ht="20.149999999999999" customHeight="1">
      <c r="B61" s="61">
        <v>43160</v>
      </c>
      <c r="C61" s="61">
        <v>43235</v>
      </c>
      <c r="D61" s="62" t="s">
        <v>0</v>
      </c>
      <c r="E61" s="69">
        <v>582.28</v>
      </c>
      <c r="F61" s="62">
        <v>0.5</v>
      </c>
      <c r="G61" s="74">
        <v>0.3</v>
      </c>
      <c r="H61" s="70">
        <v>3.198</v>
      </c>
      <c r="I61" s="65">
        <v>73.37</v>
      </c>
      <c r="J61" s="65">
        <f t="shared" si="1"/>
        <v>257958.77419999999</v>
      </c>
      <c r="K61" s="65"/>
      <c r="L61" s="65"/>
      <c r="N61" s="11"/>
      <c r="O61" s="11"/>
      <c r="P61" s="11"/>
    </row>
    <row r="62" spans="2:16" ht="20.149999999999999" customHeight="1">
      <c r="B62" s="61">
        <v>43191</v>
      </c>
      <c r="C62" s="61">
        <v>43266</v>
      </c>
      <c r="D62" s="62" t="s">
        <v>0</v>
      </c>
      <c r="E62" s="69">
        <v>313.85500000000002</v>
      </c>
      <c r="F62" s="62">
        <v>0.5</v>
      </c>
      <c r="G62" s="74">
        <v>0.3</v>
      </c>
      <c r="H62" s="70">
        <v>3.278</v>
      </c>
      <c r="I62" s="65">
        <v>73.37</v>
      </c>
      <c r="J62" s="65">
        <f t="shared" si="1"/>
        <v>142808.73282500001</v>
      </c>
      <c r="K62" s="65"/>
      <c r="L62" s="65"/>
      <c r="N62" s="11"/>
      <c r="O62" s="11"/>
      <c r="P62" s="11"/>
    </row>
    <row r="63" spans="2:16" ht="20.149999999999999" customHeight="1">
      <c r="B63" s="61">
        <v>43221</v>
      </c>
      <c r="C63" s="61">
        <v>43283</v>
      </c>
      <c r="D63" s="62" t="s">
        <v>0</v>
      </c>
      <c r="E63" s="69">
        <v>291.71800000000002</v>
      </c>
      <c r="F63" s="62">
        <v>0.5</v>
      </c>
      <c r="G63" s="74">
        <v>0.3</v>
      </c>
      <c r="H63" s="70">
        <v>3.5009999999999999</v>
      </c>
      <c r="I63" s="65">
        <v>73.37</v>
      </c>
      <c r="J63" s="65">
        <f t="shared" si="1"/>
        <v>142494.03287</v>
      </c>
      <c r="K63" s="65"/>
      <c r="L63" s="65"/>
      <c r="N63" s="11"/>
      <c r="O63" s="11"/>
      <c r="P63" s="11"/>
    </row>
    <row r="64" spans="2:16" ht="20.149999999999999" customHeight="1">
      <c r="B64" s="61">
        <v>43252</v>
      </c>
      <c r="C64" s="61">
        <v>43283</v>
      </c>
      <c r="D64" s="62" t="s">
        <v>0</v>
      </c>
      <c r="E64" s="69">
        <v>293.12599999999998</v>
      </c>
      <c r="F64" s="62">
        <v>0.5</v>
      </c>
      <c r="G64" s="74">
        <v>0.3</v>
      </c>
      <c r="H64" s="70">
        <v>3.3530000000000002</v>
      </c>
      <c r="I64" s="65">
        <v>73.37</v>
      </c>
      <c r="J64" s="65">
        <f t="shared" si="1"/>
        <v>136674.39439</v>
      </c>
      <c r="K64" s="65"/>
      <c r="L64" s="65"/>
      <c r="N64" s="11"/>
      <c r="O64" s="11"/>
      <c r="P64" s="11"/>
    </row>
    <row r="65" spans="2:16" ht="20.149999999999999" customHeight="1">
      <c r="B65" s="61">
        <v>43283</v>
      </c>
      <c r="C65" s="61">
        <v>43342</v>
      </c>
      <c r="D65" s="62" t="s">
        <v>0</v>
      </c>
      <c r="E65" s="69">
        <v>581.06200000000024</v>
      </c>
      <c r="F65" s="62">
        <v>0.5</v>
      </c>
      <c r="G65" s="74">
        <v>0.3</v>
      </c>
      <c r="H65" s="70">
        <v>3.331</v>
      </c>
      <c r="I65" s="65">
        <v>73.37</v>
      </c>
      <c r="J65" s="65">
        <f t="shared" si="1"/>
        <v>269011.36883000011</v>
      </c>
      <c r="K65" s="65"/>
      <c r="L65" s="65"/>
      <c r="N65" s="11"/>
      <c r="O65" s="11"/>
      <c r="P65" s="11"/>
    </row>
    <row r="66" spans="2:16" ht="20.149999999999999" customHeight="1">
      <c r="B66" s="61">
        <v>43342</v>
      </c>
      <c r="C66" s="61">
        <v>43344</v>
      </c>
      <c r="D66" s="62" t="s">
        <v>0</v>
      </c>
      <c r="E66" s="69">
        <v>718.16099999999994</v>
      </c>
      <c r="F66" s="62">
        <v>0.5</v>
      </c>
      <c r="G66" s="74">
        <v>0.3</v>
      </c>
      <c r="H66" s="70">
        <v>4.024</v>
      </c>
      <c r="I66" s="65">
        <v>73.37</v>
      </c>
      <c r="J66" s="65">
        <f t="shared" si="1"/>
        <v>407136.24331499997</v>
      </c>
      <c r="K66" s="65"/>
      <c r="L66" s="65"/>
      <c r="N66" s="11"/>
      <c r="O66" s="11"/>
      <c r="P66" s="11"/>
    </row>
    <row r="67" spans="2:16" ht="20.149999999999999" customHeight="1">
      <c r="B67" s="61">
        <v>43344</v>
      </c>
      <c r="C67" s="61">
        <v>43374</v>
      </c>
      <c r="D67" s="62" t="s">
        <v>0</v>
      </c>
      <c r="E67" s="69">
        <v>715.34300000000019</v>
      </c>
      <c r="F67" s="62">
        <v>0.5</v>
      </c>
      <c r="G67" s="74">
        <v>0.3</v>
      </c>
      <c r="H67" s="70">
        <v>3.5059999999999998</v>
      </c>
      <c r="I67" s="65">
        <v>73.37</v>
      </c>
      <c r="J67" s="65">
        <f t="shared" si="1"/>
        <v>349956.52574500005</v>
      </c>
      <c r="K67" s="65"/>
      <c r="L67" s="65"/>
      <c r="N67" s="11"/>
      <c r="O67" s="11"/>
      <c r="P67" s="11"/>
    </row>
    <row r="68" spans="2:16" ht="20.149999999999999" customHeight="1">
      <c r="B68" s="61">
        <v>43374</v>
      </c>
      <c r="C68" s="61">
        <v>43405</v>
      </c>
      <c r="D68" s="62" t="s">
        <v>0</v>
      </c>
      <c r="E68" s="69">
        <v>790.22900000000004</v>
      </c>
      <c r="F68" s="62">
        <v>0.5</v>
      </c>
      <c r="G68" s="74">
        <v>0.3</v>
      </c>
      <c r="H68" s="70">
        <v>3.657</v>
      </c>
      <c r="I68" s="65">
        <v>73.37</v>
      </c>
      <c r="J68" s="65">
        <f t="shared" si="1"/>
        <v>404490.56708499999</v>
      </c>
      <c r="K68" s="65"/>
      <c r="L68" s="65"/>
      <c r="N68" s="11"/>
      <c r="O68" s="11"/>
      <c r="P68" s="11"/>
    </row>
    <row r="69" spans="2:16" ht="20.149999999999999" customHeight="1">
      <c r="B69" s="6">
        <v>43405</v>
      </c>
      <c r="C69" s="6">
        <v>43435</v>
      </c>
      <c r="D69" s="14" t="s">
        <v>0</v>
      </c>
      <c r="E69" s="50">
        <v>656.38199999999995</v>
      </c>
      <c r="F69" s="14">
        <v>0.5</v>
      </c>
      <c r="G69" s="73">
        <v>0.3</v>
      </c>
      <c r="H69" s="72">
        <v>3.5659999999999998</v>
      </c>
      <c r="I69" s="7">
        <v>73.37</v>
      </c>
      <c r="J69" s="7">
        <f t="shared" ref="J69:J71" si="2">ROUND(E69*F69*(1000*G69*H69-I69),2)</f>
        <v>327019.36</v>
      </c>
      <c r="K69" s="7"/>
      <c r="L69" s="7"/>
      <c r="N69" s="11"/>
      <c r="O69" s="11"/>
      <c r="P69" s="11"/>
    </row>
    <row r="70" spans="2:16" ht="20.149999999999999" customHeight="1">
      <c r="B70" s="6">
        <v>43435</v>
      </c>
      <c r="C70" s="6">
        <v>43466</v>
      </c>
      <c r="D70" s="14" t="s">
        <v>0</v>
      </c>
      <c r="E70" s="50">
        <v>1430.095</v>
      </c>
      <c r="F70" s="14">
        <v>0.5</v>
      </c>
      <c r="G70" s="73">
        <v>0.3</v>
      </c>
      <c r="H70" s="72">
        <v>3.35</v>
      </c>
      <c r="I70" s="7">
        <v>73.37</v>
      </c>
      <c r="J70" s="7">
        <f t="shared" si="2"/>
        <v>666159.69999999995</v>
      </c>
      <c r="K70" s="7"/>
      <c r="L70" s="7"/>
      <c r="N70" s="11"/>
      <c r="O70" s="11"/>
      <c r="P70" s="11"/>
    </row>
    <row r="71" spans="2:16" ht="20.149999999999999" customHeight="1">
      <c r="B71" s="6">
        <v>43466</v>
      </c>
      <c r="C71" s="6">
        <v>43497</v>
      </c>
      <c r="D71" s="14" t="s">
        <v>0</v>
      </c>
      <c r="E71" s="50">
        <v>720.50400000000002</v>
      </c>
      <c r="F71" s="14">
        <v>0.5</v>
      </c>
      <c r="G71" s="73">
        <v>0.3</v>
      </c>
      <c r="H71" s="72">
        <v>3.3170000000000002</v>
      </c>
      <c r="I71" s="7">
        <v>73.37</v>
      </c>
      <c r="J71" s="7">
        <f t="shared" si="2"/>
        <v>332055.08</v>
      </c>
      <c r="K71" s="7"/>
      <c r="L71" s="7"/>
      <c r="N71" s="11"/>
      <c r="O71" s="11"/>
      <c r="P71" s="11"/>
    </row>
    <row r="72" spans="2:16" ht="20.149999999999999" customHeight="1">
      <c r="B72" s="6">
        <v>43497</v>
      </c>
      <c r="C72" s="6">
        <v>43525</v>
      </c>
      <c r="D72" s="14" t="s">
        <v>0</v>
      </c>
      <c r="E72" s="50">
        <v>406.28800000000001</v>
      </c>
      <c r="F72" s="14">
        <v>0.5</v>
      </c>
      <c r="G72" s="73">
        <v>0.3</v>
      </c>
      <c r="H72" s="72">
        <v>3.343</v>
      </c>
      <c r="I72" s="7">
        <v>73.37</v>
      </c>
      <c r="J72" s="7">
        <f t="shared" ref="J72:J79" si="3">ROUND(E72*F72*(1000*G72*H72-I72),2)</f>
        <v>188828.44</v>
      </c>
      <c r="K72" s="7"/>
      <c r="L72" s="7"/>
      <c r="N72" s="11"/>
      <c r="O72" s="11"/>
      <c r="P72" s="11"/>
    </row>
    <row r="73" spans="2:16" ht="20.149999999999999" customHeight="1">
      <c r="B73" s="6">
        <v>43525</v>
      </c>
      <c r="C73" s="6">
        <v>43556</v>
      </c>
      <c r="D73" s="14" t="s">
        <v>0</v>
      </c>
      <c r="E73" s="50">
        <v>436.53</v>
      </c>
      <c r="F73" s="14">
        <v>0.5</v>
      </c>
      <c r="G73" s="73">
        <v>0.3</v>
      </c>
      <c r="H73" s="72">
        <v>3.4380000000000002</v>
      </c>
      <c r="I73" s="7">
        <v>73.37</v>
      </c>
      <c r="J73" s="7">
        <f t="shared" si="3"/>
        <v>209104.42</v>
      </c>
      <c r="K73" s="7"/>
      <c r="L73" s="7"/>
      <c r="N73" s="11"/>
      <c r="O73" s="11"/>
      <c r="P73" s="11"/>
    </row>
    <row r="74" spans="2:16" ht="20.149999999999999" customHeight="1">
      <c r="B74" s="6">
        <v>43556</v>
      </c>
      <c r="C74" s="6">
        <v>43586</v>
      </c>
      <c r="D74" s="14" t="s">
        <v>0</v>
      </c>
      <c r="E74" s="50">
        <v>325.54300000000001</v>
      </c>
      <c r="F74" s="14">
        <v>0.5</v>
      </c>
      <c r="G74" s="73">
        <v>0.3</v>
      </c>
      <c r="H74" s="72">
        <v>3.4470000000000001</v>
      </c>
      <c r="I74" s="7">
        <v>73.37</v>
      </c>
      <c r="J74" s="7">
        <f t="shared" si="3"/>
        <v>156379.46</v>
      </c>
      <c r="K74" s="7"/>
      <c r="L74" s="7"/>
      <c r="N74" s="11"/>
      <c r="O74" s="11"/>
      <c r="P74" s="11"/>
    </row>
    <row r="75" spans="2:16" ht="20.149999999999999" customHeight="1">
      <c r="B75" s="6">
        <v>43586</v>
      </c>
      <c r="C75" s="6">
        <v>43617</v>
      </c>
      <c r="D75" s="14" t="s">
        <v>0</v>
      </c>
      <c r="E75" s="50">
        <v>258.80599999999998</v>
      </c>
      <c r="F75" s="14">
        <v>0.5</v>
      </c>
      <c r="G75" s="73">
        <v>0.3</v>
      </c>
      <c r="H75" s="72">
        <v>3.504</v>
      </c>
      <c r="I75" s="7">
        <v>73.37</v>
      </c>
      <c r="J75" s="7">
        <f t="shared" si="3"/>
        <v>126534.14</v>
      </c>
      <c r="K75" s="7"/>
      <c r="L75" s="7"/>
      <c r="N75" s="11"/>
      <c r="O75" s="11"/>
      <c r="P75" s="11"/>
    </row>
    <row r="76" spans="2:16" ht="20.149999999999999" customHeight="1">
      <c r="B76" s="6">
        <v>43617</v>
      </c>
      <c r="C76" s="6">
        <v>43647</v>
      </c>
      <c r="D76" s="14" t="s">
        <v>0</v>
      </c>
      <c r="E76" s="50">
        <v>298.57</v>
      </c>
      <c r="F76" s="14">
        <v>0.5</v>
      </c>
      <c r="G76" s="73">
        <v>0.3</v>
      </c>
      <c r="H76" s="72">
        <v>3.4289999999999998</v>
      </c>
      <c r="I76" s="7">
        <v>73.37</v>
      </c>
      <c r="J76" s="7">
        <f t="shared" si="3"/>
        <v>142616.44</v>
      </c>
      <c r="K76" s="7"/>
      <c r="L76" s="7"/>
      <c r="N76" s="11"/>
      <c r="O76" s="11"/>
      <c r="P76" s="11"/>
    </row>
    <row r="77" spans="2:16" ht="20.149999999999999" customHeight="1">
      <c r="B77" s="6">
        <v>43647</v>
      </c>
      <c r="C77" s="6">
        <v>43678</v>
      </c>
      <c r="D77" s="14" t="s">
        <v>0</v>
      </c>
      <c r="E77" s="50">
        <v>452.15899999999999</v>
      </c>
      <c r="F77" s="14">
        <v>0.5</v>
      </c>
      <c r="G77" s="73">
        <v>0.3</v>
      </c>
      <c r="H77" s="72">
        <v>3.355</v>
      </c>
      <c r="I77" s="7">
        <v>73.37</v>
      </c>
      <c r="J77" s="7">
        <f t="shared" si="3"/>
        <v>210961.56</v>
      </c>
      <c r="K77" s="7"/>
      <c r="L77" s="7"/>
      <c r="N77" s="11"/>
      <c r="O77" s="11"/>
      <c r="P77" s="11"/>
    </row>
    <row r="78" spans="2:16" ht="20.149999999999999" customHeight="1">
      <c r="B78" s="6">
        <v>43678</v>
      </c>
      <c r="C78" s="6">
        <v>43709</v>
      </c>
      <c r="D78" s="14" t="s">
        <v>0</v>
      </c>
      <c r="E78" s="50">
        <v>338.09</v>
      </c>
      <c r="F78" s="14">
        <v>0.5</v>
      </c>
      <c r="G78" s="73">
        <v>0.3</v>
      </c>
      <c r="H78" s="72">
        <v>3.3519999999999999</v>
      </c>
      <c r="I78" s="7">
        <v>73.37</v>
      </c>
      <c r="J78" s="7">
        <f t="shared" si="3"/>
        <v>157588.82</v>
      </c>
      <c r="K78" s="7"/>
      <c r="L78" s="7"/>
      <c r="N78" s="11"/>
      <c r="O78" s="11"/>
      <c r="P78" s="11"/>
    </row>
    <row r="79" spans="2:16" ht="20.149999999999999" customHeight="1">
      <c r="B79" s="6">
        <v>43709</v>
      </c>
      <c r="C79" s="6">
        <v>43739</v>
      </c>
      <c r="D79" s="14" t="s">
        <v>0</v>
      </c>
      <c r="E79" s="50">
        <v>668.14700000000005</v>
      </c>
      <c r="F79" s="14">
        <v>0.5</v>
      </c>
      <c r="G79" s="73">
        <v>0.3</v>
      </c>
      <c r="H79" s="72">
        <v>3.4630000000000001</v>
      </c>
      <c r="I79" s="7">
        <v>73.37</v>
      </c>
      <c r="J79" s="7">
        <f t="shared" si="3"/>
        <v>322557.99</v>
      </c>
      <c r="K79" s="7"/>
      <c r="L79" s="7"/>
      <c r="N79" s="11"/>
      <c r="O79" s="11"/>
      <c r="P79" s="11"/>
    </row>
    <row r="80" spans="2:16" ht="20.149999999999999" customHeight="1">
      <c r="B80" s="6">
        <v>43739</v>
      </c>
      <c r="C80" s="6">
        <v>43770</v>
      </c>
      <c r="D80" s="14" t="s">
        <v>0</v>
      </c>
      <c r="E80" s="50">
        <v>454.45299999999997</v>
      </c>
      <c r="F80" s="14">
        <v>0.5</v>
      </c>
      <c r="G80" s="73">
        <v>0.3</v>
      </c>
      <c r="H80" s="72">
        <v>3.6120000000000001</v>
      </c>
      <c r="I80" s="7">
        <v>73.37</v>
      </c>
      <c r="J80" s="7">
        <f t="shared" ref="J80" si="4">ROUND(E80*F80*(1000*G80*H80-I80),2)</f>
        <v>229551.03</v>
      </c>
      <c r="K80" s="7"/>
      <c r="L80" s="7"/>
      <c r="N80" s="11"/>
      <c r="O80" s="11"/>
      <c r="P80" s="11"/>
    </row>
    <row r="81" spans="2:16" ht="20.149999999999999" customHeight="1">
      <c r="B81" s="61">
        <v>43770</v>
      </c>
      <c r="C81" s="61">
        <v>43800</v>
      </c>
      <c r="D81" s="62" t="s">
        <v>0</v>
      </c>
      <c r="E81" s="69">
        <v>399.46800000000002</v>
      </c>
      <c r="F81" s="62">
        <v>0.5</v>
      </c>
      <c r="G81" s="74">
        <v>0.3</v>
      </c>
      <c r="H81" s="70">
        <v>3.573</v>
      </c>
      <c r="I81" s="65">
        <v>73.37</v>
      </c>
      <c r="J81" s="65">
        <f t="shared" ref="J81" si="5">ROUND(E81*F81*(1000*G81*H81-I81),2)</f>
        <v>199440.39</v>
      </c>
      <c r="K81" s="65"/>
      <c r="L81" s="65"/>
      <c r="N81" s="11"/>
      <c r="O81" s="11"/>
      <c r="P81" s="11"/>
    </row>
    <row r="82" spans="2:16" ht="20.149999999999999" customHeight="1">
      <c r="B82" s="61">
        <v>43800</v>
      </c>
      <c r="C82" s="61">
        <v>43831</v>
      </c>
      <c r="D82" s="62" t="s">
        <v>0</v>
      </c>
      <c r="E82" s="69">
        <v>391.01499999999999</v>
      </c>
      <c r="F82" s="62">
        <v>0.5</v>
      </c>
      <c r="G82" s="74">
        <v>0.3</v>
      </c>
      <c r="H82" s="70">
        <v>3.6190000000000002</v>
      </c>
      <c r="I82" s="65">
        <v>73.37</v>
      </c>
      <c r="J82" s="65">
        <f t="shared" ref="J82" si="6">ROUND(E82*F82*(1000*G82*H82-I82),2)</f>
        <v>197918.11</v>
      </c>
      <c r="K82" s="65"/>
      <c r="L82" s="65"/>
      <c r="N82" s="11"/>
      <c r="O82" s="11"/>
      <c r="P82" s="11"/>
    </row>
    <row r="83" spans="2:16" ht="20.149999999999999" customHeight="1">
      <c r="B83" s="61">
        <v>43831</v>
      </c>
      <c r="C83" s="61">
        <v>43862</v>
      </c>
      <c r="D83" s="62" t="s">
        <v>0</v>
      </c>
      <c r="E83" s="69">
        <v>447.57</v>
      </c>
      <c r="F83" s="62">
        <v>0.5</v>
      </c>
      <c r="G83" s="74">
        <v>0.3</v>
      </c>
      <c r="H83" s="70">
        <v>3.661</v>
      </c>
      <c r="I83" s="65">
        <v>73.37</v>
      </c>
      <c r="J83" s="65">
        <f t="shared" ref="J83" si="7">ROUND(E83*F83*(1000*G83*H83-I83),2)</f>
        <v>229363.96</v>
      </c>
      <c r="K83" s="65"/>
      <c r="L83" s="65"/>
      <c r="N83" s="11"/>
      <c r="O83" s="11"/>
      <c r="P83" s="11"/>
    </row>
    <row r="84" spans="2:16" ht="20.149999999999999" customHeight="1">
      <c r="B84" s="61">
        <v>43862</v>
      </c>
      <c r="C84" s="61">
        <v>43891</v>
      </c>
      <c r="D84" s="62" t="s">
        <v>0</v>
      </c>
      <c r="E84" s="69">
        <v>572.78700000000003</v>
      </c>
      <c r="F84" s="62">
        <v>0.5</v>
      </c>
      <c r="G84" s="74">
        <v>0.3</v>
      </c>
      <c r="H84" s="70">
        <v>3.5219999999999998</v>
      </c>
      <c r="I84" s="65">
        <v>73.37</v>
      </c>
      <c r="J84" s="65">
        <f t="shared" ref="J84" si="8">ROUND(E84*F84*(1000*G84*H84-I84),2)</f>
        <v>281590.68</v>
      </c>
      <c r="K84" s="65"/>
      <c r="L84" s="65"/>
      <c r="N84" s="11"/>
      <c r="O84" s="11"/>
      <c r="P84" s="11"/>
    </row>
    <row r="85" spans="2:16" ht="20.149999999999999" customHeight="1">
      <c r="B85" s="61">
        <v>43891</v>
      </c>
      <c r="C85" s="61">
        <v>43922</v>
      </c>
      <c r="D85" s="62" t="s">
        <v>0</v>
      </c>
      <c r="E85" s="69">
        <v>592.07399999999996</v>
      </c>
      <c r="F85" s="62">
        <v>0.5</v>
      </c>
      <c r="G85" s="74">
        <v>0.3</v>
      </c>
      <c r="H85" s="70">
        <v>3.32</v>
      </c>
      <c r="I85" s="65">
        <v>73.37</v>
      </c>
      <c r="J85" s="65">
        <f t="shared" ref="J85" si="9">ROUND(E85*F85*(1000*G85*H85-I85),2)</f>
        <v>273132.62</v>
      </c>
      <c r="K85" s="65"/>
      <c r="L85" s="65"/>
      <c r="N85" s="11"/>
      <c r="O85" s="11"/>
      <c r="P85" s="11"/>
    </row>
    <row r="86" spans="2:16" ht="20.149999999999999" customHeight="1">
      <c r="B86" s="61">
        <v>43922</v>
      </c>
      <c r="C86" s="61">
        <v>43952</v>
      </c>
      <c r="D86" s="62" t="s">
        <v>0</v>
      </c>
      <c r="E86" s="69">
        <v>490.80900000000003</v>
      </c>
      <c r="F86" s="62">
        <v>0.5</v>
      </c>
      <c r="G86" s="74">
        <v>0.3</v>
      </c>
      <c r="H86" s="70">
        <v>3.0190000000000001</v>
      </c>
      <c r="I86" s="65">
        <v>73.37</v>
      </c>
      <c r="J86" s="65">
        <f t="shared" ref="J86" si="10">ROUND(E86*F86*(1000*G86*H86-I86),2)</f>
        <v>204257.53</v>
      </c>
      <c r="K86" s="65"/>
      <c r="L86" s="65"/>
      <c r="N86" s="11"/>
      <c r="O86" s="11"/>
      <c r="P86" s="11"/>
    </row>
    <row r="87" spans="2:16" ht="20.149999999999999" customHeight="1">
      <c r="B87" s="61">
        <v>43952</v>
      </c>
      <c r="C87" s="61">
        <v>43983</v>
      </c>
      <c r="D87" s="62" t="s">
        <v>0</v>
      </c>
      <c r="E87" s="69">
        <v>478.35700000000003</v>
      </c>
      <c r="F87" s="62">
        <v>0.5</v>
      </c>
      <c r="G87" s="74">
        <v>0.3</v>
      </c>
      <c r="H87" s="70">
        <v>2.7559999999999998</v>
      </c>
      <c r="I87" s="65">
        <v>73.37</v>
      </c>
      <c r="J87" s="65">
        <f t="shared" ref="J87" si="11">ROUND(E87*F87*(1000*G87*H87-I87),2)</f>
        <v>180204.26</v>
      </c>
      <c r="K87" s="65"/>
      <c r="L87" s="65"/>
      <c r="N87" s="11"/>
      <c r="O87" s="11"/>
      <c r="P87" s="11"/>
    </row>
    <row r="88" spans="2:16" ht="20.149999999999999" customHeight="1">
      <c r="B88" s="61">
        <v>43983</v>
      </c>
      <c r="C88" s="61">
        <v>44013</v>
      </c>
      <c r="D88" s="62" t="s">
        <v>0</v>
      </c>
      <c r="E88" s="69">
        <v>620.13400000000001</v>
      </c>
      <c r="F88" s="62">
        <v>0.5</v>
      </c>
      <c r="G88" s="74">
        <v>0.3</v>
      </c>
      <c r="H88" s="70">
        <v>2.8380000000000001</v>
      </c>
      <c r="I88" s="65">
        <v>73.37</v>
      </c>
      <c r="J88" s="65">
        <f t="shared" ref="J88" si="12">ROUND(E88*F88*(1000*G88*H88-I88),2)</f>
        <v>241241.43</v>
      </c>
      <c r="K88" s="65"/>
      <c r="L88" s="65"/>
      <c r="N88" s="11"/>
      <c r="O88" s="11"/>
      <c r="P88" s="11"/>
    </row>
    <row r="89" spans="2:16" ht="20.149999999999999" customHeight="1">
      <c r="B89" s="61">
        <v>44013</v>
      </c>
      <c r="C89" s="61">
        <v>44044</v>
      </c>
      <c r="D89" s="62" t="s">
        <v>0</v>
      </c>
      <c r="E89" s="69">
        <v>818.56700000000001</v>
      </c>
      <c r="F89" s="62">
        <v>0.5</v>
      </c>
      <c r="G89" s="74">
        <v>0.3</v>
      </c>
      <c r="H89" s="70">
        <v>2.99</v>
      </c>
      <c r="I89" s="65">
        <v>73.37</v>
      </c>
      <c r="J89" s="65">
        <f t="shared" ref="J89" si="13">ROUND(E89*F89*(1000*G89*H89-I89),2)</f>
        <v>337098.17</v>
      </c>
      <c r="K89" s="65"/>
      <c r="L89" s="65"/>
      <c r="N89" s="11"/>
      <c r="O89" s="11"/>
      <c r="P89" s="11"/>
    </row>
    <row r="90" spans="2:16" ht="20.149999999999999" customHeight="1">
      <c r="B90" s="61">
        <v>44044</v>
      </c>
      <c r="C90" s="61">
        <v>44075</v>
      </c>
      <c r="D90" s="62" t="s">
        <v>0</v>
      </c>
      <c r="E90" s="69">
        <v>870.64400000000001</v>
      </c>
      <c r="F90" s="62">
        <v>0.5</v>
      </c>
      <c r="G90" s="74">
        <v>0.3</v>
      </c>
      <c r="H90" s="70">
        <v>3.1840000000000002</v>
      </c>
      <c r="I90" s="65">
        <v>73.37</v>
      </c>
      <c r="J90" s="65">
        <f t="shared" ref="J90" si="14">ROUND(E90*F90*(1000*G90*H90-I90),2)</f>
        <v>383880</v>
      </c>
      <c r="K90" s="65"/>
      <c r="L90" s="65"/>
      <c r="N90" s="11"/>
      <c r="O90" s="11"/>
      <c r="P90" s="11"/>
    </row>
    <row r="91" spans="2:16" ht="20.149999999999999" customHeight="1">
      <c r="B91" s="61">
        <v>44075</v>
      </c>
      <c r="C91" s="61">
        <v>44105</v>
      </c>
      <c r="D91" s="62" t="s">
        <v>0</v>
      </c>
      <c r="E91" s="69">
        <v>976.82</v>
      </c>
      <c r="F91" s="62">
        <v>0.5</v>
      </c>
      <c r="G91" s="74">
        <v>0.3</v>
      </c>
      <c r="H91" s="70">
        <v>3.25</v>
      </c>
      <c r="I91" s="65">
        <v>73.37</v>
      </c>
      <c r="J91" s="65">
        <f t="shared" ref="J91" si="15">ROUND(E91*F91*(1000*G91*H91-I91),2)</f>
        <v>440365.11</v>
      </c>
      <c r="K91" s="65"/>
      <c r="L91" s="65"/>
      <c r="N91" s="11"/>
      <c r="O91" s="11"/>
      <c r="P91" s="11"/>
    </row>
    <row r="92" spans="2:16" ht="20.149999999999999" customHeight="1">
      <c r="B92" s="61">
        <v>44105</v>
      </c>
      <c r="C92" s="61">
        <v>44136</v>
      </c>
      <c r="D92" s="62" t="s">
        <v>0</v>
      </c>
      <c r="E92" s="69">
        <v>1017.74</v>
      </c>
      <c r="F92" s="62">
        <v>0.5</v>
      </c>
      <c r="G92" s="74">
        <v>0.3</v>
      </c>
      <c r="H92" s="70">
        <v>3.2610000000000001</v>
      </c>
      <c r="I92" s="65">
        <v>73.37</v>
      </c>
      <c r="J92" s="65">
        <f t="shared" ref="J92" si="16">ROUND(E92*F92*(1000*G92*H92-I92),2)</f>
        <v>460491.73</v>
      </c>
      <c r="K92" s="65"/>
      <c r="L92" s="65"/>
      <c r="N92" s="11"/>
      <c r="O92" s="11"/>
      <c r="P92" s="11"/>
    </row>
    <row r="93" spans="2:16" ht="20.149999999999999" customHeight="1">
      <c r="B93" s="6">
        <v>44136</v>
      </c>
      <c r="C93" s="6">
        <v>44166</v>
      </c>
      <c r="D93" s="14" t="s">
        <v>0</v>
      </c>
      <c r="E93" s="50">
        <v>1033.0160000000001</v>
      </c>
      <c r="F93" s="14">
        <v>0.5</v>
      </c>
      <c r="G93" s="73">
        <v>0.3</v>
      </c>
      <c r="H93" s="52">
        <v>3.3730000000000002</v>
      </c>
      <c r="I93" s="7">
        <v>73.37</v>
      </c>
      <c r="J93" s="7">
        <f t="shared" ref="J93" si="17">ROUND(E93*F93*(1000*G93*H93-I93),2)</f>
        <v>484758.25</v>
      </c>
      <c r="K93" s="7"/>
      <c r="L93" s="7"/>
      <c r="N93" s="11"/>
      <c r="O93" s="11"/>
      <c r="P93" s="11"/>
    </row>
    <row r="94" spans="2:16" ht="20.149999999999999" customHeight="1">
      <c r="B94" s="6">
        <v>44166</v>
      </c>
      <c r="C94" s="6">
        <v>44197</v>
      </c>
      <c r="D94" s="14" t="s">
        <v>0</v>
      </c>
      <c r="E94" s="50">
        <v>739.28899999999999</v>
      </c>
      <c r="F94" s="14">
        <v>0.5</v>
      </c>
      <c r="G94" s="73">
        <v>0.3</v>
      </c>
      <c r="H94" s="52">
        <v>3.4860000000000002</v>
      </c>
      <c r="I94" s="7">
        <v>73.37</v>
      </c>
      <c r="J94" s="7">
        <f t="shared" ref="J94" si="18">ROUND(E94*F94*(1000*G94*H94-I94),2)</f>
        <v>359453.4</v>
      </c>
      <c r="K94" s="7"/>
      <c r="L94" s="7"/>
      <c r="N94" s="11"/>
      <c r="O94" s="11"/>
      <c r="P94" s="11"/>
    </row>
    <row r="95" spans="2:16" ht="20.149999999999999" customHeight="1">
      <c r="B95" s="6">
        <v>44197</v>
      </c>
      <c r="C95" s="6">
        <v>44228</v>
      </c>
      <c r="D95" s="14" t="s">
        <v>0</v>
      </c>
      <c r="E95" s="50">
        <v>636.1</v>
      </c>
      <c r="F95" s="14">
        <v>0.5</v>
      </c>
      <c r="G95" s="73">
        <v>0.3</v>
      </c>
      <c r="H95" s="52">
        <v>3.5489999999999999</v>
      </c>
      <c r="I95" s="7">
        <v>73.37</v>
      </c>
      <c r="J95" s="7">
        <f t="shared" ref="J95" si="19">ROUND(E95*F95*(1000*G95*H95-I95),2)</f>
        <v>315292.51</v>
      </c>
      <c r="K95" s="7"/>
      <c r="L95" s="7"/>
      <c r="N95" s="11"/>
      <c r="O95" s="11"/>
      <c r="P95" s="11"/>
    </row>
    <row r="96" spans="2:16" ht="20.149999999999999" customHeight="1">
      <c r="B96" s="6">
        <v>44228</v>
      </c>
      <c r="C96" s="6">
        <v>44256</v>
      </c>
      <c r="D96" s="14" t="s">
        <v>0</v>
      </c>
      <c r="E96" s="50">
        <v>760.13800000000003</v>
      </c>
      <c r="F96" s="14">
        <v>0.5</v>
      </c>
      <c r="G96" s="73">
        <v>0.3</v>
      </c>
      <c r="H96" s="52">
        <v>3.7829999999999999</v>
      </c>
      <c r="I96" s="7">
        <v>73.37</v>
      </c>
      <c r="J96" s="7">
        <f t="shared" ref="J96" si="20">ROUND(E96*F96*(1000*G96*H96-I96),2)</f>
        <v>403454.65</v>
      </c>
      <c r="K96" s="7"/>
      <c r="L96" s="7"/>
      <c r="N96" s="11"/>
      <c r="O96" s="11"/>
      <c r="P96" s="11"/>
    </row>
    <row r="97" spans="2:16" ht="20.149999999999999" customHeight="1">
      <c r="B97" s="6">
        <v>44256</v>
      </c>
      <c r="C97" s="6">
        <v>44287</v>
      </c>
      <c r="D97" s="14" t="s">
        <v>0</v>
      </c>
      <c r="E97" s="50">
        <v>812.976</v>
      </c>
      <c r="F97" s="14">
        <v>0.5</v>
      </c>
      <c r="G97" s="73">
        <v>0.3</v>
      </c>
      <c r="H97" s="52">
        <v>4.0060000000000002</v>
      </c>
      <c r="I97" s="7">
        <v>73.37</v>
      </c>
      <c r="J97" s="7">
        <f t="shared" ref="J97" si="21">ROUND(E97*F97*(1000*G97*H97-I97),2)</f>
        <v>458693.25</v>
      </c>
      <c r="K97" s="7"/>
      <c r="L97" s="7"/>
      <c r="N97" s="11"/>
      <c r="O97" s="11"/>
      <c r="P97" s="11"/>
    </row>
    <row r="98" spans="2:16" ht="20.149999999999999" customHeight="1">
      <c r="B98" s="6">
        <v>44287</v>
      </c>
      <c r="C98" s="6">
        <v>44317</v>
      </c>
      <c r="D98" s="14" t="s">
        <v>0</v>
      </c>
      <c r="E98" s="50">
        <v>611.55399999999997</v>
      </c>
      <c r="F98" s="14">
        <v>0.5</v>
      </c>
      <c r="G98" s="73">
        <v>0.3</v>
      </c>
      <c r="H98" s="52">
        <v>3.9732270000000001</v>
      </c>
      <c r="I98" s="7">
        <v>73.37</v>
      </c>
      <c r="J98" s="7">
        <f t="shared" ref="J98" si="22">ROUND(E98*F98*(1000*G98*H98-I98),2)</f>
        <v>342041.57</v>
      </c>
      <c r="K98" s="7"/>
      <c r="L98" s="7"/>
      <c r="N98" s="11"/>
      <c r="O98" s="11"/>
      <c r="P98" s="11"/>
    </row>
    <row r="99" spans="2:16" ht="20.149999999999999" customHeight="1">
      <c r="B99" s="6">
        <v>44317</v>
      </c>
      <c r="C99" s="6">
        <v>44348</v>
      </c>
      <c r="D99" s="14" t="s">
        <v>0</v>
      </c>
      <c r="E99" s="50">
        <v>680.70100000000002</v>
      </c>
      <c r="F99" s="14">
        <v>0.5</v>
      </c>
      <c r="G99" s="73">
        <v>0.3</v>
      </c>
      <c r="H99" s="52">
        <v>4.2865180000000001</v>
      </c>
      <c r="I99" s="7">
        <v>73.37</v>
      </c>
      <c r="J99" s="7">
        <f t="shared" ref="J99" si="23">ROUND(E99*F99*(1000*G99*H99-I99),2)</f>
        <v>412704.05</v>
      </c>
      <c r="K99" s="7"/>
      <c r="L99" s="7"/>
      <c r="N99" s="11"/>
      <c r="O99" s="11"/>
      <c r="P99" s="11"/>
    </row>
    <row r="100" spans="2:16" ht="20.149999999999999" customHeight="1">
      <c r="B100" s="6">
        <v>44348</v>
      </c>
      <c r="C100" s="6">
        <v>44378</v>
      </c>
      <c r="D100" s="14" t="s">
        <v>0</v>
      </c>
      <c r="E100" s="50">
        <v>803.452</v>
      </c>
      <c r="F100" s="14">
        <v>0.5</v>
      </c>
      <c r="G100" s="73">
        <v>0.3</v>
      </c>
      <c r="H100" s="52">
        <v>4.3263809999999996</v>
      </c>
      <c r="I100" s="7">
        <v>73.37</v>
      </c>
      <c r="J100" s="7">
        <f t="shared" ref="J100" si="24">ROUND(E100*F100*(1000*G100*H100-I100),2)</f>
        <v>491931.28</v>
      </c>
      <c r="K100" s="7"/>
      <c r="L100" s="7"/>
      <c r="N100" s="11"/>
      <c r="O100" s="11"/>
      <c r="P100" s="11"/>
    </row>
    <row r="101" spans="2:16" ht="20.149999999999999" customHeight="1">
      <c r="B101" s="6">
        <v>44378</v>
      </c>
      <c r="C101" s="6">
        <v>44409</v>
      </c>
      <c r="D101" s="14" t="s">
        <v>0</v>
      </c>
      <c r="E101" s="50">
        <v>866.44600000000003</v>
      </c>
      <c r="F101" s="14">
        <v>0.5</v>
      </c>
      <c r="G101" s="73">
        <v>0.3</v>
      </c>
      <c r="H101" s="52">
        <v>4.4278199999999996</v>
      </c>
      <c r="I101" s="7">
        <v>73.37</v>
      </c>
      <c r="J101" s="7">
        <f t="shared" ref="J101" si="25">ROUND(E101*F101*(1000*G101*H101-I101),2)</f>
        <v>543684.47</v>
      </c>
      <c r="K101" s="7"/>
      <c r="L101" s="7"/>
      <c r="N101" s="11"/>
      <c r="O101" s="11"/>
      <c r="P101" s="11"/>
    </row>
    <row r="102" spans="2:16" ht="20.149999999999999" customHeight="1">
      <c r="B102" s="6">
        <v>44409</v>
      </c>
      <c r="C102" s="6">
        <v>44440</v>
      </c>
      <c r="D102" s="14" t="s">
        <v>0</v>
      </c>
      <c r="E102" s="50">
        <v>1050.944</v>
      </c>
      <c r="F102" s="14">
        <v>0.5</v>
      </c>
      <c r="G102" s="73">
        <v>0.3</v>
      </c>
      <c r="H102" s="52">
        <v>4.444636</v>
      </c>
      <c r="I102" s="7">
        <v>73.37</v>
      </c>
      <c r="J102" s="7">
        <f t="shared" ref="J102" si="26">ROUND(E102*F102*(1000*G102*H102-I102),2)</f>
        <v>662105.65</v>
      </c>
      <c r="K102" s="7"/>
      <c r="L102" s="7"/>
      <c r="N102" s="11"/>
      <c r="O102" s="11"/>
      <c r="P102" s="11"/>
    </row>
    <row r="103" spans="2:16" ht="20.149999999999999" customHeight="1">
      <c r="B103" s="6">
        <v>44440</v>
      </c>
      <c r="C103" s="6">
        <v>44470</v>
      </c>
      <c r="D103" s="14" t="s">
        <v>0</v>
      </c>
      <c r="E103" s="50">
        <v>1128.175</v>
      </c>
      <c r="F103" s="14">
        <v>0.5</v>
      </c>
      <c r="G103" s="73">
        <v>0.3</v>
      </c>
      <c r="H103" s="52">
        <v>4.5706519999999999</v>
      </c>
      <c r="I103" s="7">
        <v>73.37</v>
      </c>
      <c r="J103" s="7">
        <f t="shared" ref="J103" si="27">ROUND(E103*F103*(1000*G103*H103-I103),2)</f>
        <v>732087.2</v>
      </c>
      <c r="K103" s="7"/>
      <c r="L103" s="7"/>
      <c r="N103" s="11"/>
      <c r="O103" s="11"/>
      <c r="P103" s="11"/>
    </row>
    <row r="104" spans="2:16" ht="20.149999999999999" customHeight="1">
      <c r="B104" s="6">
        <v>44470</v>
      </c>
      <c r="C104" s="6">
        <v>44501</v>
      </c>
      <c r="D104" s="14" t="s">
        <v>0</v>
      </c>
      <c r="E104" s="50">
        <v>1069.7429999999999</v>
      </c>
      <c r="F104" s="14">
        <v>0.5</v>
      </c>
      <c r="G104" s="73">
        <v>0.3</v>
      </c>
      <c r="H104" s="52">
        <v>4.8890719999999996</v>
      </c>
      <c r="I104" s="7">
        <v>73.37</v>
      </c>
      <c r="J104" s="7">
        <f t="shared" ref="J104" si="28">ROUND(E104*F104*(1000*G104*H104-I104),2)</f>
        <v>745264.06</v>
      </c>
      <c r="K104" s="7"/>
      <c r="L104" s="7"/>
      <c r="N104" s="11"/>
      <c r="O104" s="11"/>
      <c r="P104" s="11"/>
    </row>
    <row r="105" spans="2:16" ht="20.149999999999999" customHeight="1">
      <c r="B105" s="61">
        <v>44501</v>
      </c>
      <c r="C105" s="61">
        <v>44531</v>
      </c>
      <c r="D105" s="62" t="s">
        <v>0</v>
      </c>
      <c r="E105" s="69">
        <v>577.54399999999998</v>
      </c>
      <c r="F105" s="62">
        <v>0.5</v>
      </c>
      <c r="G105" s="74">
        <v>0.3</v>
      </c>
      <c r="H105" s="70">
        <v>5.147087</v>
      </c>
      <c r="I105" s="65">
        <v>73.37</v>
      </c>
      <c r="J105" s="65">
        <f t="shared" ref="J105" si="29">ROUND(E105*F105*(1000*G105*H105-I105),2)</f>
        <v>424713.18</v>
      </c>
      <c r="K105" s="65"/>
      <c r="L105" s="65"/>
      <c r="N105" s="11"/>
      <c r="O105" s="11"/>
      <c r="P105" s="11"/>
    </row>
    <row r="106" spans="2:16" ht="20.149999999999999" customHeight="1">
      <c r="B106" s="61">
        <v>44531</v>
      </c>
      <c r="C106" s="61">
        <v>44562</v>
      </c>
      <c r="D106" s="62" t="s">
        <v>0</v>
      </c>
      <c r="E106" s="69">
        <v>630.49300000000005</v>
      </c>
      <c r="F106" s="62">
        <v>0.5</v>
      </c>
      <c r="G106" s="74">
        <v>0.3</v>
      </c>
      <c r="H106" s="70">
        <v>5.0979089999999996</v>
      </c>
      <c r="I106" s="65">
        <v>73.37</v>
      </c>
      <c r="J106" s="65">
        <f t="shared" ref="J106" si="30">ROUND(E106*F106*(1000*G106*H106-I106),2)</f>
        <v>458999.76</v>
      </c>
      <c r="K106" s="65"/>
      <c r="L106" s="65"/>
      <c r="N106" s="11"/>
      <c r="O106" s="11"/>
      <c r="P106" s="11"/>
    </row>
    <row r="107" spans="2:16" ht="20.149999999999999" customHeight="1">
      <c r="B107" s="61">
        <v>44562</v>
      </c>
      <c r="C107" s="61">
        <v>44593</v>
      </c>
      <c r="D107" s="62" t="s">
        <v>0</v>
      </c>
      <c r="E107" s="69">
        <v>646.01400000000001</v>
      </c>
      <c r="F107" s="62">
        <v>0.5</v>
      </c>
      <c r="G107" s="74">
        <v>0.3</v>
      </c>
      <c r="H107" s="70">
        <v>5.2700690000000003</v>
      </c>
      <c r="I107" s="65">
        <v>73.37</v>
      </c>
      <c r="J107" s="65">
        <f t="shared" ref="J107:J120" si="31">ROUND(E107*F107*(1000*G107*H107-I107),2)</f>
        <v>486981.73</v>
      </c>
      <c r="K107" s="65">
        <v>486981.73</v>
      </c>
      <c r="L107" s="65">
        <f>J107-K107</f>
        <v>0</v>
      </c>
      <c r="N107" s="11"/>
      <c r="O107" s="11"/>
      <c r="P107" s="11"/>
    </row>
    <row r="108" spans="2:16" ht="20.149999999999999" customHeight="1">
      <c r="B108" s="61">
        <v>44593</v>
      </c>
      <c r="C108" s="61">
        <v>44621</v>
      </c>
      <c r="D108" s="62" t="s">
        <v>0</v>
      </c>
      <c r="E108" s="69">
        <v>533.77</v>
      </c>
      <c r="F108" s="62">
        <v>0.5</v>
      </c>
      <c r="G108" s="74">
        <v>0.3</v>
      </c>
      <c r="H108" s="70">
        <v>5.3528209999999996</v>
      </c>
      <c r="I108" s="65">
        <v>73.37</v>
      </c>
      <c r="J108" s="65">
        <f t="shared" si="31"/>
        <v>408994.94</v>
      </c>
      <c r="K108" s="65">
        <v>408994.94</v>
      </c>
      <c r="L108" s="65">
        <f t="shared" ref="L108:L115" si="32">J108-K108</f>
        <v>0</v>
      </c>
      <c r="N108" s="11"/>
      <c r="O108" s="11"/>
      <c r="P108" s="11"/>
    </row>
    <row r="109" spans="2:16" ht="20.149999999999999" customHeight="1">
      <c r="B109" s="61">
        <v>44621</v>
      </c>
      <c r="C109" s="61">
        <v>44652</v>
      </c>
      <c r="D109" s="62" t="s">
        <v>0</v>
      </c>
      <c r="E109" s="69">
        <v>610.07500000000005</v>
      </c>
      <c r="F109" s="62">
        <v>0.5</v>
      </c>
      <c r="G109" s="74">
        <v>0.3</v>
      </c>
      <c r="H109" s="70">
        <v>5.9260000000000002</v>
      </c>
      <c r="I109" s="65">
        <v>73.37</v>
      </c>
      <c r="J109" s="65">
        <f t="shared" si="31"/>
        <v>519915.07</v>
      </c>
      <c r="K109" s="65">
        <v>519915.07</v>
      </c>
      <c r="L109" s="65">
        <f t="shared" si="32"/>
        <v>0</v>
      </c>
      <c r="N109" s="11"/>
      <c r="O109" s="11"/>
      <c r="P109" s="11"/>
    </row>
    <row r="110" spans="2:16" ht="20.149999999999999" customHeight="1">
      <c r="B110" s="61">
        <v>44652</v>
      </c>
      <c r="C110" s="61">
        <v>44682</v>
      </c>
      <c r="D110" s="62" t="s">
        <v>0</v>
      </c>
      <c r="E110" s="69">
        <v>504.25700000000001</v>
      </c>
      <c r="F110" s="62">
        <v>0.5</v>
      </c>
      <c r="G110" s="74">
        <v>0.3</v>
      </c>
      <c r="H110" s="70">
        <v>6.1214029999999999</v>
      </c>
      <c r="I110" s="65">
        <v>73.37</v>
      </c>
      <c r="J110" s="65">
        <f t="shared" si="31"/>
        <v>444515.38</v>
      </c>
      <c r="K110" s="65">
        <v>444515.38</v>
      </c>
      <c r="L110" s="65">
        <f t="shared" si="32"/>
        <v>0</v>
      </c>
      <c r="N110" s="11"/>
      <c r="O110" s="11"/>
      <c r="P110" s="11"/>
    </row>
    <row r="111" spans="2:16" ht="20.149999999999999" customHeight="1">
      <c r="B111" s="61">
        <v>44682</v>
      </c>
      <c r="C111" s="61">
        <v>44713</v>
      </c>
      <c r="D111" s="62" t="s">
        <v>0</v>
      </c>
      <c r="E111" s="69">
        <v>489.03199999999998</v>
      </c>
      <c r="F111" s="62">
        <v>0.5</v>
      </c>
      <c r="G111" s="74">
        <v>0.3</v>
      </c>
      <c r="H111" s="70">
        <v>6.3360000000000003</v>
      </c>
      <c r="I111" s="65">
        <v>73.37</v>
      </c>
      <c r="J111" s="65">
        <f t="shared" si="31"/>
        <v>446835.87</v>
      </c>
      <c r="K111" s="65">
        <v>446835.87</v>
      </c>
      <c r="L111" s="65">
        <f t="shared" si="32"/>
        <v>0</v>
      </c>
      <c r="N111" s="11"/>
      <c r="O111" s="11"/>
      <c r="P111" s="11"/>
    </row>
    <row r="112" spans="2:16" ht="20.149999999999999" customHeight="1">
      <c r="B112" s="61">
        <v>44713</v>
      </c>
      <c r="C112" s="61">
        <v>44743</v>
      </c>
      <c r="D112" s="62" t="s">
        <v>0</v>
      </c>
      <c r="E112" s="69">
        <v>540.22799999999995</v>
      </c>
      <c r="F112" s="62">
        <v>0.5</v>
      </c>
      <c r="G112" s="74">
        <v>0.3</v>
      </c>
      <c r="H112" s="70">
        <v>6.6876280000000001</v>
      </c>
      <c r="I112" s="65">
        <v>73.37</v>
      </c>
      <c r="J112" s="65">
        <f t="shared" si="31"/>
        <v>522108.32</v>
      </c>
      <c r="K112" s="65">
        <v>522108.32</v>
      </c>
      <c r="L112" s="65">
        <f t="shared" si="32"/>
        <v>0</v>
      </c>
      <c r="N112" s="11"/>
      <c r="O112" s="11"/>
      <c r="P112" s="11"/>
    </row>
    <row r="113" spans="2:16" ht="20.149999999999999" customHeight="1">
      <c r="B113" s="61">
        <v>44743</v>
      </c>
      <c r="C113" s="61">
        <v>44774</v>
      </c>
      <c r="D113" s="62" t="s">
        <v>0</v>
      </c>
      <c r="E113" s="69">
        <v>858.90499999999997</v>
      </c>
      <c r="F113" s="62">
        <v>0.5</v>
      </c>
      <c r="G113" s="74">
        <v>0.3</v>
      </c>
      <c r="H113" s="70">
        <v>6.9408110000000001</v>
      </c>
      <c r="I113" s="65">
        <v>73.37</v>
      </c>
      <c r="J113" s="65">
        <f t="shared" si="31"/>
        <v>862715.66</v>
      </c>
      <c r="K113" s="65">
        <v>860179.53</v>
      </c>
      <c r="L113" s="65">
        <f t="shared" si="32"/>
        <v>2536.1300000000047</v>
      </c>
      <c r="N113" s="11"/>
      <c r="O113" s="11"/>
      <c r="P113" s="11"/>
    </row>
    <row r="114" spans="2:16" ht="20.149999999999999" customHeight="1">
      <c r="B114" s="61">
        <v>44774</v>
      </c>
      <c r="C114" s="61">
        <v>44805</v>
      </c>
      <c r="D114" s="62" t="s">
        <v>0</v>
      </c>
      <c r="E114" s="69">
        <v>967.1</v>
      </c>
      <c r="F114" s="62">
        <v>0.5</v>
      </c>
      <c r="G114" s="74">
        <v>0.3</v>
      </c>
      <c r="H114" s="70">
        <v>6.5178159999999998</v>
      </c>
      <c r="I114" s="65">
        <v>73.37</v>
      </c>
      <c r="J114" s="65">
        <f t="shared" si="31"/>
        <v>910028.91</v>
      </c>
      <c r="K114" s="65">
        <v>925840.85</v>
      </c>
      <c r="L114" s="65">
        <f t="shared" si="32"/>
        <v>-15811.939999999944</v>
      </c>
      <c r="N114" s="11"/>
      <c r="O114" s="11"/>
      <c r="P114" s="11"/>
    </row>
    <row r="115" spans="2:16" ht="20.149999999999999" customHeight="1">
      <c r="B115" s="61">
        <v>44805</v>
      </c>
      <c r="C115" s="61">
        <v>44835</v>
      </c>
      <c r="D115" s="62" t="s">
        <v>0</v>
      </c>
      <c r="E115" s="69">
        <v>1079.242</v>
      </c>
      <c r="F115" s="62">
        <v>0.5</v>
      </c>
      <c r="G115" s="74">
        <v>0.3</v>
      </c>
      <c r="H115" s="70">
        <v>6.2194229999999999</v>
      </c>
      <c r="I115" s="65">
        <v>73.37</v>
      </c>
      <c r="J115" s="65">
        <f t="shared" si="31"/>
        <v>967247.38</v>
      </c>
      <c r="K115" s="65">
        <v>992457.61</v>
      </c>
      <c r="L115" s="65">
        <f t="shared" si="32"/>
        <v>-25210.229999999981</v>
      </c>
      <c r="N115" s="11"/>
      <c r="O115" s="11"/>
      <c r="P115" s="11"/>
    </row>
    <row r="116" spans="2:16" ht="20.149999999999999" customHeight="1">
      <c r="B116" s="61">
        <v>44835</v>
      </c>
      <c r="C116" s="61">
        <v>44866</v>
      </c>
      <c r="D116" s="62" t="s">
        <v>0</v>
      </c>
      <c r="E116" s="69">
        <v>918.35799999999995</v>
      </c>
      <c r="F116" s="62">
        <v>0.5</v>
      </c>
      <c r="G116" s="74">
        <v>0.3</v>
      </c>
      <c r="H116" s="70">
        <v>6.0503910000000003</v>
      </c>
      <c r="I116" s="65">
        <v>73.37</v>
      </c>
      <c r="J116" s="65">
        <f t="shared" si="31"/>
        <v>799773.78</v>
      </c>
      <c r="K116" s="65"/>
      <c r="L116" s="65">
        <f>J116-K117</f>
        <v>7724.9500000000698</v>
      </c>
      <c r="N116" s="11"/>
      <c r="O116" s="11"/>
      <c r="P116" s="11"/>
    </row>
    <row r="117" spans="2:16" ht="20.149999999999999" customHeight="1">
      <c r="B117" s="6">
        <v>44866</v>
      </c>
      <c r="C117" s="6">
        <v>44896</v>
      </c>
      <c r="D117" s="14" t="s">
        <v>0</v>
      </c>
      <c r="E117" s="50">
        <v>896.16300000000001</v>
      </c>
      <c r="F117" s="14">
        <v>0.5</v>
      </c>
      <c r="G117" s="51">
        <v>0.3</v>
      </c>
      <c r="H117" s="52">
        <v>6.1172639999999996</v>
      </c>
      <c r="I117" s="8">
        <v>73.37</v>
      </c>
      <c r="J117" s="7">
        <f t="shared" si="31"/>
        <v>789434.11</v>
      </c>
      <c r="K117" s="7">
        <v>792048.83</v>
      </c>
      <c r="L117" s="7"/>
      <c r="N117" s="11"/>
      <c r="O117" s="11"/>
      <c r="P117" s="11"/>
    </row>
    <row r="118" spans="2:16" ht="20.149999999999999" customHeight="1">
      <c r="B118" s="6">
        <v>44896</v>
      </c>
      <c r="C118" s="6">
        <v>44927</v>
      </c>
      <c r="D118" s="14" t="s">
        <v>0</v>
      </c>
      <c r="E118" s="50">
        <v>759.65300000000002</v>
      </c>
      <c r="F118" s="14">
        <v>0.5</v>
      </c>
      <c r="G118" s="51">
        <v>0.3</v>
      </c>
      <c r="H118" s="52">
        <v>5.7887959999999996</v>
      </c>
      <c r="I118" s="8">
        <v>73.37</v>
      </c>
      <c r="J118" s="7">
        <f t="shared" si="31"/>
        <v>631753.56999999995</v>
      </c>
      <c r="K118" s="7"/>
      <c r="L118" s="7"/>
      <c r="N118" s="11"/>
      <c r="O118" s="11"/>
      <c r="P118" s="11"/>
    </row>
    <row r="119" spans="2:16" ht="20.149999999999999" customHeight="1">
      <c r="B119" s="6">
        <v>44927</v>
      </c>
      <c r="C119" s="6">
        <v>44958</v>
      </c>
      <c r="D119" s="14" t="s">
        <v>0</v>
      </c>
      <c r="E119" s="50">
        <v>720.51199999999994</v>
      </c>
      <c r="F119" s="14">
        <v>0.5</v>
      </c>
      <c r="G119" s="51">
        <v>0.3</v>
      </c>
      <c r="H119" s="52">
        <v>5.7905300000000004</v>
      </c>
      <c r="I119" s="8">
        <v>73.37</v>
      </c>
      <c r="J119" s="7">
        <f t="shared" si="31"/>
        <v>599389.97</v>
      </c>
      <c r="K119" s="7">
        <v>600623.67000000004</v>
      </c>
      <c r="L119" s="7">
        <f t="shared" ref="L119:L124" si="33">J119-K119</f>
        <v>-1233.7000000000698</v>
      </c>
      <c r="N119" s="11"/>
      <c r="O119" s="11"/>
      <c r="P119" s="11"/>
    </row>
    <row r="120" spans="2:16" ht="20.149999999999999" customHeight="1">
      <c r="B120" s="6">
        <v>44958</v>
      </c>
      <c r="C120" s="6">
        <v>44986</v>
      </c>
      <c r="D120" s="14" t="s">
        <v>0</v>
      </c>
      <c r="E120" s="50">
        <v>800.13599999999997</v>
      </c>
      <c r="F120" s="14">
        <v>0.5</v>
      </c>
      <c r="G120" s="51">
        <v>0.3</v>
      </c>
      <c r="H120" s="52">
        <v>5.5177519999999998</v>
      </c>
      <c r="I120" s="8">
        <v>73.37</v>
      </c>
      <c r="J120" s="7">
        <f t="shared" si="31"/>
        <v>632889.81000000006</v>
      </c>
      <c r="K120" s="7">
        <v>645393.78</v>
      </c>
      <c r="L120" s="7">
        <f t="shared" si="33"/>
        <v>-12503.969999999972</v>
      </c>
      <c r="N120" s="11"/>
      <c r="O120" s="11"/>
      <c r="P120" s="11"/>
    </row>
    <row r="121" spans="2:16" ht="20.149999999999999" customHeight="1">
      <c r="B121" s="6">
        <v>44986</v>
      </c>
      <c r="C121" s="6">
        <v>45017</v>
      </c>
      <c r="D121" s="14" t="s">
        <v>0</v>
      </c>
      <c r="E121" s="50">
        <v>1047.162</v>
      </c>
      <c r="F121" s="14">
        <v>0.5</v>
      </c>
      <c r="G121" s="51">
        <v>0.3</v>
      </c>
      <c r="H121" s="52">
        <v>5.3550300000000002</v>
      </c>
      <c r="I121" s="8">
        <v>73.37</v>
      </c>
      <c r="J121" s="7">
        <f t="shared" ref="J121:J122" si="34">ROUND(E121*F121*(1000*G121*H121-I121),2)</f>
        <v>802722.45</v>
      </c>
      <c r="K121" s="7"/>
      <c r="L121" s="7"/>
      <c r="N121" s="11"/>
      <c r="O121" s="11"/>
      <c r="P121" s="11"/>
    </row>
    <row r="122" spans="2:16" ht="20.149999999999999" customHeight="1">
      <c r="B122" s="6">
        <v>45017</v>
      </c>
      <c r="C122" s="6">
        <v>45047</v>
      </c>
      <c r="D122" s="14" t="s">
        <v>0</v>
      </c>
      <c r="E122" s="50">
        <v>1616.8030000000001</v>
      </c>
      <c r="F122" s="14">
        <v>0.5</v>
      </c>
      <c r="G122" s="51">
        <v>0.3</v>
      </c>
      <c r="H122" s="52">
        <v>5.204974</v>
      </c>
      <c r="I122" s="8">
        <v>73.37</v>
      </c>
      <c r="J122" s="7">
        <f t="shared" si="34"/>
        <v>1203000.22</v>
      </c>
      <c r="K122" s="7">
        <v>1241483.6100000001</v>
      </c>
      <c r="L122" s="7">
        <f t="shared" si="33"/>
        <v>-38483.39000000013</v>
      </c>
      <c r="N122" s="11"/>
      <c r="O122" s="11"/>
      <c r="P122" s="11"/>
    </row>
    <row r="123" spans="2:16" ht="20.149999999999999" customHeight="1">
      <c r="B123" s="6">
        <v>45047</v>
      </c>
      <c r="C123" s="6">
        <v>45078</v>
      </c>
      <c r="D123" s="14" t="s">
        <v>0</v>
      </c>
      <c r="E123" s="50">
        <v>1459.548</v>
      </c>
      <c r="F123" s="14">
        <v>0.5</v>
      </c>
      <c r="G123" s="51">
        <v>0.3</v>
      </c>
      <c r="H123" s="52">
        <v>4.6351969999999998</v>
      </c>
      <c r="I123" s="8">
        <v>73.37</v>
      </c>
      <c r="J123" s="7">
        <f t="shared" ref="J123:J126" si="35">ROUND(E123*F123*(1000*G123*H123-I123),2)</f>
        <v>961250.36</v>
      </c>
      <c r="K123" s="7"/>
      <c r="L123" s="7"/>
      <c r="N123" s="11"/>
      <c r="O123" s="11"/>
      <c r="P123" s="11"/>
    </row>
    <row r="124" spans="2:16" ht="20.149999999999999" customHeight="1">
      <c r="B124" s="6">
        <v>45078</v>
      </c>
      <c r="C124" s="6">
        <v>45108</v>
      </c>
      <c r="D124" s="14" t="s">
        <v>0</v>
      </c>
      <c r="E124" s="50">
        <v>806.67499999999995</v>
      </c>
      <c r="F124" s="14">
        <v>0.5</v>
      </c>
      <c r="G124" s="51">
        <v>0.3</v>
      </c>
      <c r="H124" s="52">
        <v>4.3922359999999996</v>
      </c>
      <c r="I124" s="8">
        <v>73.37</v>
      </c>
      <c r="J124" s="7">
        <f t="shared" si="35"/>
        <v>501873.17</v>
      </c>
      <c r="K124" s="7">
        <v>0</v>
      </c>
      <c r="L124" s="7">
        <f t="shared" si="33"/>
        <v>501873.17</v>
      </c>
      <c r="N124" s="11"/>
      <c r="O124" s="11"/>
      <c r="P124" s="11"/>
    </row>
    <row r="125" spans="2:16" ht="20.149999999999999" customHeight="1">
      <c r="B125" s="6">
        <v>45108</v>
      </c>
      <c r="C125" s="6">
        <v>45139</v>
      </c>
      <c r="D125" s="14" t="s">
        <v>0</v>
      </c>
      <c r="E125" s="50">
        <v>1111.3430000000001</v>
      </c>
      <c r="F125" s="14">
        <v>0.5</v>
      </c>
      <c r="G125" s="51">
        <v>0.3</v>
      </c>
      <c r="H125" s="52">
        <v>4.3860000000000001</v>
      </c>
      <c r="I125" s="8">
        <v>73.37</v>
      </c>
      <c r="J125" s="7">
        <f t="shared" si="35"/>
        <v>690382.94</v>
      </c>
      <c r="K125" s="7"/>
      <c r="L125" s="7"/>
      <c r="N125" s="11"/>
      <c r="O125" s="11"/>
      <c r="P125" s="11"/>
    </row>
    <row r="126" spans="2:16" ht="20.149999999999999" customHeight="1">
      <c r="B126" s="6">
        <v>45139</v>
      </c>
      <c r="C126" s="6">
        <v>45170</v>
      </c>
      <c r="D126" s="14" t="s">
        <v>0</v>
      </c>
      <c r="E126" s="50">
        <v>1423.88</v>
      </c>
      <c r="F126" s="14">
        <v>0.5</v>
      </c>
      <c r="G126" s="51">
        <v>0.3</v>
      </c>
      <c r="H126" s="52">
        <v>5.0149999999999997</v>
      </c>
      <c r="I126" s="8">
        <v>73.37</v>
      </c>
      <c r="J126" s="7">
        <f t="shared" si="35"/>
        <v>1018878.69</v>
      </c>
      <c r="K126" s="7"/>
      <c r="L126" s="7"/>
      <c r="N126" s="11"/>
      <c r="O126" s="11"/>
      <c r="P126" s="11"/>
    </row>
    <row r="127" spans="2:16" ht="20.149999999999999" customHeight="1">
      <c r="B127" s="6">
        <v>45170</v>
      </c>
      <c r="C127" s="6">
        <v>45200</v>
      </c>
      <c r="D127" s="14" t="s">
        <v>0</v>
      </c>
      <c r="E127" s="50">
        <v>1347.6610000000001</v>
      </c>
      <c r="F127" s="14">
        <v>0.5</v>
      </c>
      <c r="G127" s="51">
        <v>0.3</v>
      </c>
      <c r="H127" s="52">
        <v>5.6023379999999996</v>
      </c>
      <c r="I127" s="8">
        <v>73.37</v>
      </c>
      <c r="J127" s="7">
        <f t="shared" ref="J127:J129" si="36">ROUND(E127*F127*(1000*G127*H127-I127),2)</f>
        <v>1083068.92</v>
      </c>
      <c r="K127" s="7">
        <v>1064539.53</v>
      </c>
      <c r="L127" s="7">
        <f t="shared" ref="L127:L130" si="37">J127-K127</f>
        <v>18529.389999999898</v>
      </c>
      <c r="N127" s="11"/>
      <c r="O127" s="11"/>
      <c r="P127" s="11"/>
    </row>
    <row r="128" spans="2:16" ht="20.149999999999999" customHeight="1">
      <c r="B128" s="6">
        <v>45200</v>
      </c>
      <c r="C128" s="6">
        <v>45231</v>
      </c>
      <c r="D128" s="14" t="s">
        <v>0</v>
      </c>
      <c r="E128" s="50">
        <v>1207.7090000000001</v>
      </c>
      <c r="F128" s="14">
        <v>0.5</v>
      </c>
      <c r="G128" s="51">
        <v>0.3</v>
      </c>
      <c r="H128" s="52">
        <v>5.5223389999999997</v>
      </c>
      <c r="I128" s="8">
        <v>73.37</v>
      </c>
      <c r="J128" s="7">
        <f t="shared" si="36"/>
        <v>956101.97</v>
      </c>
      <c r="K128" s="7">
        <v>946906.29</v>
      </c>
      <c r="L128" s="7">
        <f t="shared" si="37"/>
        <v>9195.6799999999348</v>
      </c>
      <c r="N128" s="11"/>
      <c r="O128" s="11"/>
      <c r="P128" s="11"/>
    </row>
    <row r="129" spans="2:16" ht="20.149999999999999" customHeight="1">
      <c r="B129" s="6">
        <v>45231</v>
      </c>
      <c r="C129" s="6">
        <v>45261</v>
      </c>
      <c r="D129" s="14" t="s">
        <v>0</v>
      </c>
      <c r="E129" s="50">
        <v>1173.9390000000001</v>
      </c>
      <c r="F129" s="14">
        <v>0.5</v>
      </c>
      <c r="G129" s="51">
        <v>0.3</v>
      </c>
      <c r="H129" s="52">
        <v>5.4399300000000004</v>
      </c>
      <c r="I129" s="8">
        <v>73.37</v>
      </c>
      <c r="J129" s="7">
        <f t="shared" si="36"/>
        <v>914855.95</v>
      </c>
      <c r="K129" s="7">
        <v>905745.71</v>
      </c>
      <c r="L129" s="7">
        <f t="shared" si="37"/>
        <v>9110.2399999999907</v>
      </c>
      <c r="N129" s="11"/>
      <c r="O129" s="11"/>
      <c r="P129" s="11"/>
    </row>
    <row r="130" spans="2:16" ht="20.149999999999999" customHeight="1">
      <c r="B130" s="6">
        <v>45261</v>
      </c>
      <c r="C130" s="6">
        <v>45292</v>
      </c>
      <c r="D130" s="14" t="s">
        <v>0</v>
      </c>
      <c r="E130" s="50">
        <v>954.01099999999997</v>
      </c>
      <c r="F130" s="14">
        <v>0.5</v>
      </c>
      <c r="G130" s="51">
        <v>0.3</v>
      </c>
      <c r="H130" s="52">
        <v>5.2523090000000003</v>
      </c>
      <c r="I130" s="8">
        <v>73.37</v>
      </c>
      <c r="J130" s="7">
        <f t="shared" ref="J130" si="38">ROUND(E130*F130*(1000*G130*H130-I130),2)</f>
        <v>716616.19</v>
      </c>
      <c r="K130" s="7">
        <v>711716.39</v>
      </c>
      <c r="L130" s="7">
        <f t="shared" si="37"/>
        <v>4899.7999999999302</v>
      </c>
      <c r="N130" s="11"/>
      <c r="O130" s="11"/>
      <c r="P130" s="11"/>
    </row>
    <row r="131" spans="2:16" ht="20.149999999999999" customHeight="1">
      <c r="B131" s="6">
        <v>45292</v>
      </c>
      <c r="C131" s="6">
        <v>45323</v>
      </c>
      <c r="D131" s="14" t="s">
        <v>0</v>
      </c>
      <c r="E131" s="50">
        <v>1036.2049999999999</v>
      </c>
      <c r="F131" s="14">
        <v>0.5</v>
      </c>
      <c r="G131" s="51">
        <v>0.3</v>
      </c>
      <c r="H131" s="52">
        <v>5.1924919999999997</v>
      </c>
      <c r="I131" s="8">
        <v>73.37</v>
      </c>
      <c r="J131" s="7">
        <f t="shared" ref="J131:J135" si="39">ROUND(E131*F131*(1000*G131*H131-I131),2)</f>
        <v>769059.75</v>
      </c>
      <c r="K131" s="7"/>
      <c r="L131" s="7"/>
      <c r="N131" s="11"/>
      <c r="O131" s="11"/>
      <c r="P131" s="11"/>
    </row>
    <row r="132" spans="2:16" ht="20.149999999999999" customHeight="1">
      <c r="B132" s="6">
        <v>45323</v>
      </c>
      <c r="C132" s="6">
        <v>45352</v>
      </c>
      <c r="D132" s="14" t="s">
        <v>0</v>
      </c>
      <c r="E132" s="51">
        <v>826.75</v>
      </c>
      <c r="F132" s="14">
        <v>0.5</v>
      </c>
      <c r="G132" s="51">
        <v>0.3</v>
      </c>
      <c r="H132" s="72">
        <v>5.2676100000000003</v>
      </c>
      <c r="I132" s="8">
        <v>73.37</v>
      </c>
      <c r="J132" s="7">
        <f t="shared" si="39"/>
        <v>622920.16</v>
      </c>
      <c r="K132" s="7"/>
      <c r="L132" s="7"/>
      <c r="N132" s="11"/>
      <c r="O132" s="11"/>
      <c r="P132" s="11"/>
    </row>
    <row r="133" spans="2:16" ht="20.149999999999999" customHeight="1">
      <c r="B133" s="6">
        <v>45352</v>
      </c>
      <c r="C133" s="6">
        <v>45383</v>
      </c>
      <c r="D133" s="14" t="s">
        <v>0</v>
      </c>
      <c r="E133" s="90">
        <v>1207.7090000000001</v>
      </c>
      <c r="F133" s="14">
        <v>0.5</v>
      </c>
      <c r="G133" s="51">
        <v>0.3</v>
      </c>
      <c r="H133" s="96">
        <v>5.2449450000000004</v>
      </c>
      <c r="I133" s="91">
        <v>73.37</v>
      </c>
      <c r="J133" s="7">
        <f t="shared" si="39"/>
        <v>905850.29</v>
      </c>
      <c r="K133" s="7"/>
      <c r="L133" s="7"/>
      <c r="N133" s="11"/>
      <c r="O133" s="11"/>
      <c r="P133" s="11"/>
    </row>
    <row r="134" spans="2:16" ht="20.149999999999999" customHeight="1">
      <c r="B134" s="6">
        <v>45383</v>
      </c>
      <c r="C134" s="6">
        <v>45413</v>
      </c>
      <c r="D134" s="14" t="s">
        <v>0</v>
      </c>
      <c r="E134" s="90">
        <v>1182.25</v>
      </c>
      <c r="F134" s="14">
        <v>0.5</v>
      </c>
      <c r="G134" s="51">
        <v>0.3</v>
      </c>
      <c r="H134" s="96">
        <v>5.2720190000000002</v>
      </c>
      <c r="I134" s="91">
        <v>73.37</v>
      </c>
      <c r="J134" s="7">
        <f t="shared" si="39"/>
        <v>891555.83</v>
      </c>
      <c r="K134" s="92"/>
      <c r="L134" s="92"/>
      <c r="N134" s="11"/>
      <c r="O134" s="11"/>
      <c r="P134" s="11"/>
    </row>
    <row r="135" spans="2:16" ht="20.149999999999999" customHeight="1">
      <c r="B135" s="6">
        <v>45413</v>
      </c>
      <c r="C135" s="6">
        <v>45444</v>
      </c>
      <c r="D135" s="14" t="s">
        <v>0</v>
      </c>
      <c r="E135" s="14">
        <v>870.56500000000005</v>
      </c>
      <c r="F135" s="51">
        <v>0.5</v>
      </c>
      <c r="G135" s="51">
        <v>0.3</v>
      </c>
      <c r="H135" s="96">
        <v>5.2662050000000002</v>
      </c>
      <c r="I135" s="7">
        <v>73.37</v>
      </c>
      <c r="J135" s="7">
        <f t="shared" si="39"/>
        <v>655749.39</v>
      </c>
      <c r="K135" s="92"/>
      <c r="L135" s="92"/>
      <c r="N135" s="11"/>
      <c r="O135" s="11"/>
      <c r="P135" s="11"/>
    </row>
    <row r="136" spans="2:16" ht="20.149999999999999" customHeight="1">
      <c r="B136" s="6">
        <v>45444</v>
      </c>
      <c r="C136" s="6">
        <v>45474</v>
      </c>
      <c r="D136" s="14" t="s">
        <v>0</v>
      </c>
      <c r="E136" s="14">
        <v>1148.2650000000001</v>
      </c>
      <c r="F136" s="51">
        <v>0.5</v>
      </c>
      <c r="G136" s="51">
        <v>0.3</v>
      </c>
      <c r="H136" s="96">
        <v>5.3116729999999999</v>
      </c>
      <c r="I136" s="7">
        <v>73.37</v>
      </c>
      <c r="J136" s="7">
        <f t="shared" ref="J136" si="40">IFERROR(ROUND(E136*F136*(1000*G136*H136-I136),2),"")</f>
        <v>872757.13</v>
      </c>
      <c r="K136" s="92"/>
      <c r="L136" s="92"/>
      <c r="N136" s="11"/>
      <c r="O136" s="11"/>
      <c r="P136" s="11"/>
    </row>
    <row r="137" spans="2:16" ht="20.149999999999999" customHeight="1">
      <c r="B137" s="6">
        <v>45474</v>
      </c>
      <c r="C137" s="6">
        <v>45505</v>
      </c>
      <c r="D137" s="14" t="s">
        <v>0</v>
      </c>
      <c r="E137" s="14">
        <v>1084.1759999999999</v>
      </c>
      <c r="F137" s="51">
        <v>0.5</v>
      </c>
      <c r="G137" s="51">
        <v>0.3</v>
      </c>
      <c r="H137" s="96">
        <v>5.4073589999999996</v>
      </c>
      <c r="I137" s="7">
        <v>73.37</v>
      </c>
      <c r="J137" s="7">
        <f t="shared" ref="J137" si="41">IFERROR(ROUND(E137*F137*(1000*G137*H137-I137),2),"")</f>
        <v>839606.33</v>
      </c>
      <c r="K137" s="92"/>
      <c r="L137" s="92"/>
      <c r="N137" s="11"/>
      <c r="O137" s="11"/>
      <c r="P137" s="11"/>
    </row>
    <row r="138" spans="2:16" ht="20.149999999999999" customHeight="1">
      <c r="B138" s="6">
        <v>45505</v>
      </c>
      <c r="C138" s="6">
        <v>45536</v>
      </c>
      <c r="D138" s="14" t="s">
        <v>0</v>
      </c>
      <c r="E138" s="14">
        <v>1304.913</v>
      </c>
      <c r="F138" s="51">
        <v>0.5</v>
      </c>
      <c r="G138" s="51">
        <v>0.3</v>
      </c>
      <c r="H138" s="96">
        <v>5.4109730000000003</v>
      </c>
      <c r="I138" s="7">
        <v>73.37</v>
      </c>
      <c r="J138" s="7">
        <f>IFERROR(ROUND(E138*F138*(1000*G138*H138-I138),2),"")</f>
        <v>1011256.62</v>
      </c>
      <c r="K138" s="92">
        <v>998322.91</v>
      </c>
      <c r="L138" s="92">
        <v>12933.709999999963</v>
      </c>
      <c r="N138" s="11"/>
      <c r="O138" s="11"/>
      <c r="P138" s="11"/>
    </row>
    <row r="139" spans="2:16" ht="20.149999999999999" customHeight="1">
      <c r="B139" s="6">
        <v>45536</v>
      </c>
      <c r="C139" s="6">
        <v>45566</v>
      </c>
      <c r="D139" s="14" t="s">
        <v>0</v>
      </c>
      <c r="E139" s="14">
        <v>1601.4110000000001</v>
      </c>
      <c r="F139" s="51">
        <v>0.5</v>
      </c>
      <c r="G139" s="51">
        <v>0.3</v>
      </c>
      <c r="H139" s="96">
        <v>5.393688</v>
      </c>
      <c r="I139" s="7">
        <v>73.37</v>
      </c>
      <c r="J139" s="7">
        <v>756692.14</v>
      </c>
      <c r="K139" s="92"/>
      <c r="L139" s="92"/>
      <c r="N139" s="11"/>
      <c r="O139" s="11"/>
      <c r="P139" s="11"/>
    </row>
    <row r="140" spans="2:16" ht="19.5" customHeight="1">
      <c r="B140" s="20"/>
      <c r="C140" s="21"/>
      <c r="D140" s="21"/>
      <c r="E140" s="21"/>
      <c r="F140" s="21"/>
      <c r="G140" s="21"/>
      <c r="H140" s="21"/>
      <c r="I140" s="22"/>
      <c r="J140" s="22"/>
      <c r="K140" s="22"/>
      <c r="L140" s="23"/>
      <c r="O140" s="25"/>
    </row>
    <row r="141" spans="2:16" ht="19.5" customHeight="1">
      <c r="B141" s="1" t="s">
        <v>71</v>
      </c>
      <c r="N141" s="11"/>
      <c r="O141" s="11"/>
      <c r="P141" s="11"/>
    </row>
    <row r="142" spans="2:16" ht="19.5" customHeight="1">
      <c r="G142" s="100"/>
      <c r="H142" s="100"/>
      <c r="J142" s="53"/>
      <c r="K142" s="53"/>
      <c r="L142" s="53"/>
      <c r="N142" s="11"/>
      <c r="O142" s="11"/>
      <c r="P142" s="11"/>
    </row>
    <row r="143" spans="2:16" ht="19.5" customHeight="1">
      <c r="D143" s="101" t="s">
        <v>22</v>
      </c>
      <c r="E143" s="101"/>
      <c r="H143" s="26"/>
      <c r="N143" s="11"/>
      <c r="O143" s="11"/>
      <c r="P143" s="11"/>
    </row>
    <row r="144" spans="2:16" ht="19.5" customHeight="1">
      <c r="D144" s="14" t="s">
        <v>4</v>
      </c>
      <c r="E144" s="38">
        <v>32253729.719999999</v>
      </c>
      <c r="H144" s="26"/>
      <c r="I144" s="26"/>
      <c r="N144" s="11"/>
      <c r="O144" s="11"/>
      <c r="P144" s="11"/>
    </row>
    <row r="145" spans="3:16" ht="19.5" customHeight="1">
      <c r="C145" s="39">
        <v>41913</v>
      </c>
      <c r="D145" s="76" t="s">
        <v>5</v>
      </c>
      <c r="E145" s="87">
        <f>SUMIF($B$9:$B$140,"&lt;="&amp;C145,$J$9:$J$140)</f>
        <v>2373977.8327999995</v>
      </c>
      <c r="H145" s="26"/>
      <c r="I145" s="26"/>
      <c r="N145" s="11"/>
      <c r="O145" s="11"/>
      <c r="P145" s="11"/>
    </row>
    <row r="146" spans="3:16" ht="19.5" customHeight="1">
      <c r="C146" s="54"/>
      <c r="D146" s="14" t="s">
        <v>6</v>
      </c>
      <c r="E146" s="38">
        <f>E144-E145</f>
        <v>29879751.887199998</v>
      </c>
      <c r="H146" s="26"/>
      <c r="I146" s="26"/>
      <c r="N146" s="11"/>
      <c r="O146" s="11"/>
      <c r="P146" s="11"/>
    </row>
    <row r="147" spans="3:16" ht="19.5" customHeight="1">
      <c r="C147" s="55"/>
      <c r="D147" s="14" t="s">
        <v>7</v>
      </c>
      <c r="E147" s="38">
        <f>E146*'IGP-M'!M18/'IGP-M'!M17</f>
        <v>30974124.152995054</v>
      </c>
      <c r="F147" s="26"/>
      <c r="H147" s="26"/>
      <c r="I147" s="26"/>
      <c r="N147" s="11"/>
      <c r="O147" s="11"/>
      <c r="P147" s="11"/>
    </row>
    <row r="148" spans="3:16" ht="19.5" customHeight="1">
      <c r="C148" s="39">
        <v>42278</v>
      </c>
      <c r="D148" s="76" t="s">
        <v>8</v>
      </c>
      <c r="E148" s="87">
        <f>SUMIF($B$9:$B$140,"&lt;="&amp;C148,$J$9:$J$140)-SUMIF($B$9:$B$140,"&lt;="&amp;C145,$J$9:$J$140)</f>
        <v>2189097.9850229998</v>
      </c>
      <c r="H148" s="26"/>
      <c r="I148" s="26"/>
      <c r="N148" s="11"/>
      <c r="O148" s="11"/>
      <c r="P148" s="11"/>
    </row>
    <row r="149" spans="3:16" ht="19.5" customHeight="1">
      <c r="C149" s="56"/>
      <c r="D149" s="14" t="s">
        <v>6</v>
      </c>
      <c r="E149" s="38">
        <f>E147-E148</f>
        <v>28785026.167972054</v>
      </c>
      <c r="H149" s="26"/>
      <c r="I149" s="26"/>
      <c r="N149" s="11"/>
      <c r="O149" s="11"/>
      <c r="P149" s="11"/>
    </row>
    <row r="150" spans="3:16" ht="19.5" customHeight="1">
      <c r="C150" s="37"/>
      <c r="D150" s="14" t="s">
        <v>7</v>
      </c>
      <c r="E150" s="38">
        <f>E149*'IGP-M'!M19/'IGP-M'!M18</f>
        <v>31860962.136437707</v>
      </c>
      <c r="F150" s="26"/>
      <c r="H150" s="26"/>
      <c r="I150" s="26"/>
      <c r="N150" s="11"/>
      <c r="O150" s="11"/>
      <c r="P150" s="11"/>
    </row>
    <row r="151" spans="3:16" ht="19.5" customHeight="1">
      <c r="C151" s="39">
        <v>42644</v>
      </c>
      <c r="D151" s="76" t="s">
        <v>9</v>
      </c>
      <c r="E151" s="87">
        <f>SUMIF($B$9:$B$140,"&lt;="&amp;C151,$J$9:$J$140)-SUMIF($B$9:$B$140,"&lt;="&amp;C148,$J$9:$J$140)</f>
        <v>2798939.8397900006</v>
      </c>
      <c r="H151" s="26"/>
      <c r="I151" s="26"/>
      <c r="N151" s="11"/>
      <c r="O151" s="11"/>
      <c r="P151" s="11"/>
    </row>
    <row r="152" spans="3:16" ht="19.5" customHeight="1">
      <c r="C152" s="37"/>
      <c r="D152" s="14" t="s">
        <v>6</v>
      </c>
      <c r="E152" s="38">
        <f>E150-E151</f>
        <v>29062022.296647705</v>
      </c>
      <c r="H152" s="26"/>
      <c r="I152" s="26"/>
      <c r="N152" s="11"/>
      <c r="O152" s="11"/>
      <c r="P152" s="11"/>
    </row>
    <row r="153" spans="3:16" ht="19.5" customHeight="1">
      <c r="C153" s="37"/>
      <c r="D153" s="14" t="s">
        <v>7</v>
      </c>
      <c r="E153" s="38">
        <f>E152*'IGP-M'!M20/'IGP-M'!M19</f>
        <v>31130318.637482259</v>
      </c>
      <c r="F153" s="26"/>
      <c r="H153" s="26"/>
      <c r="I153" s="26"/>
      <c r="N153" s="11"/>
      <c r="O153" s="11"/>
      <c r="P153" s="11"/>
    </row>
    <row r="154" spans="3:16" ht="19.5" customHeight="1">
      <c r="C154" s="39">
        <v>43009</v>
      </c>
      <c r="D154" s="76" t="s">
        <v>25</v>
      </c>
      <c r="E154" s="87">
        <f>SUMIF($B$9:$B$140,"&lt;="&amp;C154,$J$9:$J$140)-SUMIF($B$9:$B$140,"&lt;="&amp;C151,$J$9:$J$140)</f>
        <v>2747598.6082300022</v>
      </c>
      <c r="H154" s="26"/>
      <c r="I154" s="26"/>
      <c r="N154" s="11"/>
      <c r="O154" s="11"/>
      <c r="P154" s="11"/>
    </row>
    <row r="155" spans="3:16" ht="19.5" customHeight="1">
      <c r="C155" s="37"/>
      <c r="D155" s="14" t="s">
        <v>6</v>
      </c>
      <c r="E155" s="38">
        <f>E153-E154</f>
        <v>28382720.029252257</v>
      </c>
      <c r="H155" s="26"/>
      <c r="I155" s="26"/>
      <c r="N155" s="11"/>
      <c r="O155" s="11"/>
      <c r="P155" s="11"/>
    </row>
    <row r="156" spans="3:16" ht="19.5" customHeight="1">
      <c r="C156" s="37"/>
      <c r="D156" s="14" t="s">
        <v>7</v>
      </c>
      <c r="E156" s="38">
        <f>E155*'IGP-M'!M21/'IGP-M'!M20</f>
        <v>28136460.794953965</v>
      </c>
      <c r="F156" s="26"/>
      <c r="G156" s="57"/>
      <c r="H156" s="26"/>
      <c r="I156" s="26"/>
      <c r="N156" s="11"/>
      <c r="O156" s="11"/>
      <c r="P156" s="11"/>
    </row>
    <row r="157" spans="3:16" ht="19.5" customHeight="1">
      <c r="C157" s="39">
        <v>43374</v>
      </c>
      <c r="D157" s="76" t="s">
        <v>26</v>
      </c>
      <c r="E157" s="87">
        <f>SUMIF($B$9:$B$140,"&lt;="&amp;C157,$J$9:$J$140)-SUMIF($B$9:$B$140,"&lt;="&amp;C154,$J$9:$J$140)</f>
        <v>3004423.0955300014</v>
      </c>
      <c r="G157" s="57"/>
      <c r="H157" s="26"/>
      <c r="I157" s="26"/>
      <c r="N157" s="11"/>
      <c r="O157" s="11"/>
      <c r="P157" s="11"/>
    </row>
    <row r="158" spans="3:16" ht="19.5" customHeight="1">
      <c r="C158" s="37"/>
      <c r="D158" s="14" t="s">
        <v>6</v>
      </c>
      <c r="E158" s="38">
        <f>E156-E157</f>
        <v>25132037.699423961</v>
      </c>
      <c r="H158" s="26"/>
      <c r="I158" s="26"/>
      <c r="N158" s="11"/>
      <c r="O158" s="11"/>
      <c r="P158" s="11"/>
    </row>
    <row r="159" spans="3:16" ht="19.5" customHeight="1">
      <c r="C159" s="37"/>
      <c r="D159" s="14" t="s">
        <v>7</v>
      </c>
      <c r="E159" s="38">
        <f>ROUND(E158*VLOOKUP(YEAR($C157),'IGP-M'!$B$4:$N$24,MONTH(C$160)+2,0)/VLOOKUP(YEAR($C157)-1,'IGP-M'!$B$4:$N$24,MONTH(C$160)+2,0),2)</f>
        <v>27564932.280000001</v>
      </c>
      <c r="F159" s="26"/>
      <c r="H159" s="26"/>
      <c r="I159" s="26"/>
      <c r="N159" s="11"/>
      <c r="O159" s="11"/>
      <c r="P159" s="11"/>
    </row>
    <row r="160" spans="3:16" ht="19.5" customHeight="1">
      <c r="C160" s="39">
        <v>43739</v>
      </c>
      <c r="D160" s="76" t="s">
        <v>27</v>
      </c>
      <c r="E160" s="87">
        <f>SUMIF($B$9:$B$140,"&lt;="&amp;C160,$J$9:$J$140)-SUMIF($B$9:$B$140,"&lt;="&amp;C157,$J$9:$J$140)</f>
        <v>3069356.4399999995</v>
      </c>
      <c r="H160" s="26"/>
      <c r="I160" s="26"/>
      <c r="N160" s="11"/>
      <c r="O160" s="11"/>
      <c r="P160" s="11"/>
    </row>
    <row r="161" spans="3:16" ht="19.5" customHeight="1">
      <c r="C161" s="37"/>
      <c r="D161" s="14" t="s">
        <v>6</v>
      </c>
      <c r="E161" s="38">
        <f>E159-E160</f>
        <v>24495575.840000004</v>
      </c>
      <c r="H161" s="26"/>
      <c r="I161" s="26"/>
      <c r="N161" s="11"/>
      <c r="O161" s="11"/>
      <c r="P161" s="11"/>
    </row>
    <row r="162" spans="3:16" ht="19.5" customHeight="1">
      <c r="C162" s="37"/>
      <c r="D162" s="14" t="s">
        <v>7</v>
      </c>
      <c r="E162" s="38">
        <f>ROUND(E161*VLOOKUP(YEAR($C160),'IGP-M'!$B$4:$N$24,MONTH(C$160)+2,0)/VLOOKUP(YEAR($C160)-1,'IGP-M'!$B$4:$N$24,MONTH(C$160)+2,0),2)</f>
        <v>25468047.109999999</v>
      </c>
      <c r="F162" s="26"/>
      <c r="H162" s="26"/>
      <c r="I162" s="26"/>
      <c r="N162" s="11"/>
      <c r="O162" s="11"/>
      <c r="P162" s="11"/>
    </row>
    <row r="163" spans="3:16" ht="19.5" customHeight="1">
      <c r="C163" s="39">
        <v>44105</v>
      </c>
      <c r="D163" s="76" t="s">
        <v>38</v>
      </c>
      <c r="E163" s="87">
        <f>SUMIF($B$9:$B$140,"&lt;="&amp;C163,$J$9:$J$140)-SUMIF($B$9:$B$140,"&lt;="&amp;C160,$J$9:$J$140)</f>
        <v>3428983.9900000039</v>
      </c>
      <c r="H163" s="26"/>
      <c r="I163" s="26"/>
      <c r="N163" s="11"/>
      <c r="O163" s="11"/>
      <c r="P163" s="11"/>
    </row>
    <row r="164" spans="3:16" ht="19.5" customHeight="1">
      <c r="D164" s="14" t="s">
        <v>6</v>
      </c>
      <c r="E164" s="38">
        <f>E162-E163</f>
        <v>22039063.119999997</v>
      </c>
      <c r="H164" s="26"/>
      <c r="I164" s="26"/>
      <c r="N164" s="11"/>
      <c r="O164" s="11"/>
      <c r="P164" s="11"/>
    </row>
    <row r="165" spans="3:16" ht="19.5" customHeight="1">
      <c r="D165" s="14" t="s">
        <v>7</v>
      </c>
      <c r="E165" s="38">
        <f>ROUND(E164*VLOOKUP(YEAR($C163),'IGP-M'!$B$4:$N$24,MONTH(C$160)+2,0)/VLOOKUP(YEAR($C163)-1,'IGP-M'!$B$4:$N$24,MONTH(C$160)+2,0),2)</f>
        <v>27443295.66</v>
      </c>
      <c r="F165" s="26"/>
      <c r="H165" s="26"/>
      <c r="I165" s="26"/>
      <c r="N165" s="11"/>
      <c r="O165" s="11"/>
      <c r="P165" s="11"/>
    </row>
    <row r="166" spans="3:16" ht="19.5" customHeight="1">
      <c r="C166" s="39">
        <v>44470</v>
      </c>
      <c r="D166" s="76" t="s">
        <v>39</v>
      </c>
      <c r="E166" s="87">
        <f>SUMIF($B$9:$B$140,"&lt;="&amp;C166,$J$9:$J$140)-SUMIF($B$9:$B$140,"&lt;="&amp;C163,$J$9:$J$140)</f>
        <v>5951470.3399999961</v>
      </c>
      <c r="H166" s="26"/>
      <c r="I166" s="26"/>
      <c r="N166" s="11"/>
      <c r="O166" s="11"/>
      <c r="P166" s="11"/>
    </row>
    <row r="167" spans="3:16" ht="19.5" customHeight="1">
      <c r="C167" s="39"/>
      <c r="D167" s="14" t="s">
        <v>6</v>
      </c>
      <c r="E167" s="38">
        <f>E165-E166</f>
        <v>21491825.320000004</v>
      </c>
      <c r="H167" s="26"/>
      <c r="I167" s="26"/>
      <c r="N167" s="11"/>
      <c r="O167" s="11"/>
      <c r="P167" s="11"/>
    </row>
    <row r="168" spans="3:16" ht="19.5" customHeight="1">
      <c r="D168" s="14" t="s">
        <v>7</v>
      </c>
      <c r="E168" s="38">
        <f>ROUND(E167*VLOOKUP(YEAR($C166),'IGP-M'!$B$4:$N$25,MONTH(C$166)+2,0)/VLOOKUP(YEAR($C166)-1,'IGP-M'!$B$4:$N$25,MONTH(C$166)+2,0),2)</f>
        <v>25335664.050000001</v>
      </c>
      <c r="F168" s="26"/>
      <c r="H168" s="26"/>
      <c r="I168" s="26"/>
      <c r="N168" s="11"/>
      <c r="O168" s="11"/>
      <c r="P168" s="11"/>
    </row>
    <row r="169" spans="3:16" ht="19.5" customHeight="1">
      <c r="C169" s="39">
        <v>44835</v>
      </c>
      <c r="D169" s="76" t="s">
        <v>48</v>
      </c>
      <c r="E169" s="87">
        <f>SUMIF($B$9:$B$140,"&lt;="&amp;C169,$J$9:$J$140)-SUMIF($B$9:$B$140,"&lt;="&amp;C166,$J$9:$J$140)</f>
        <v>7252829.9800000042</v>
      </c>
      <c r="H169" s="26"/>
      <c r="I169" s="26"/>
      <c r="N169" s="11"/>
      <c r="O169" s="11"/>
      <c r="P169" s="11"/>
    </row>
    <row r="170" spans="3:16" ht="19.5" customHeight="1">
      <c r="C170" s="39"/>
      <c r="D170" s="14" t="s">
        <v>6</v>
      </c>
      <c r="E170" s="38">
        <f>E168-E169</f>
        <v>18082834.069999997</v>
      </c>
      <c r="H170" s="26"/>
      <c r="I170" s="26"/>
      <c r="N170" s="11"/>
      <c r="O170" s="11"/>
      <c r="P170" s="11"/>
    </row>
    <row r="171" spans="3:16" ht="19.5" customHeight="1">
      <c r="D171" s="14" t="s">
        <v>7</v>
      </c>
      <c r="E171" s="38">
        <f>ROUND(E170*VLOOKUP(YEAR($C169),'IGP-M'!$B$4:$N$29,MONTH(C$166)+2,0)/VLOOKUP(YEAR($C169)-1,'IGP-M'!$B$4:$N$29,MONTH(C$166)+2,0),2)</f>
        <v>19148868.120000001</v>
      </c>
      <c r="F171" s="26"/>
      <c r="H171" s="26"/>
      <c r="I171" s="26"/>
      <c r="N171" s="11"/>
      <c r="O171" s="11"/>
      <c r="P171" s="11"/>
    </row>
    <row r="172" spans="3:16" ht="19.5" customHeight="1">
      <c r="C172" s="39">
        <v>45200</v>
      </c>
      <c r="D172" s="76" t="s">
        <v>49</v>
      </c>
      <c r="E172" s="87">
        <f>SUMIF($B$9:$B$140,"&lt;="&amp;C172,$J$9:$J$140)-SUMIF($B$9:$B$140,"&lt;="&amp;C169,$J$9:$J$140)</f>
        <v>9870746.1799999997</v>
      </c>
      <c r="H172" s="26"/>
      <c r="I172" s="26"/>
      <c r="N172" s="11"/>
      <c r="O172" s="11"/>
      <c r="P172" s="11"/>
    </row>
    <row r="173" spans="3:16" ht="19.5" customHeight="1">
      <c r="C173" s="39"/>
      <c r="D173" s="14" t="s">
        <v>6</v>
      </c>
      <c r="E173" s="38">
        <f>E171-E172</f>
        <v>9278121.9400000013</v>
      </c>
      <c r="H173" s="26"/>
      <c r="I173" s="26"/>
      <c r="N173" s="11"/>
      <c r="O173" s="11"/>
      <c r="P173" s="11"/>
    </row>
    <row r="174" spans="3:16" ht="19.5" customHeight="1">
      <c r="D174" s="14" t="s">
        <v>7</v>
      </c>
      <c r="E174" s="38">
        <f>ROUND(E173*VLOOKUP(YEAR($C172),'IGP-M'!$B$4:$N$29,MONTH(C$172)+2,0)/VLOOKUP(YEAR($C172)-1,'IGP-M'!$B$4:$N$29,MONTH(C$172)+2,0),2)</f>
        <v>8956919.7799999993</v>
      </c>
      <c r="F174" s="26"/>
      <c r="H174" s="26"/>
      <c r="I174" s="26"/>
      <c r="N174" s="11"/>
      <c r="O174" s="11"/>
      <c r="P174" s="11"/>
    </row>
    <row r="175" spans="3:16" ht="15">
      <c r="C175" s="39">
        <v>45566</v>
      </c>
      <c r="D175" s="76" t="s">
        <v>77</v>
      </c>
      <c r="E175" s="87">
        <f>SUMIF($B$9:$B$140,"&lt;="&amp;C175,$J$9:$J$140)-SUMIF($B$9:$B$140,"&lt;="&amp;C172,$J$9:$J$140)</f>
        <v>8956919.7799999937</v>
      </c>
      <c r="H175" s="26"/>
      <c r="I175" s="26"/>
      <c r="N175" s="11"/>
      <c r="O175" s="11"/>
      <c r="P175" s="11"/>
    </row>
    <row r="176" spans="3:16" ht="15.5" customHeight="1">
      <c r="C176" s="39"/>
      <c r="D176" s="14" t="s">
        <v>6</v>
      </c>
      <c r="E176" s="38">
        <f>E174-E175</f>
        <v>0</v>
      </c>
      <c r="H176" s="26"/>
      <c r="I176" s="26"/>
      <c r="N176" s="11"/>
      <c r="O176" s="11"/>
      <c r="P176" s="11"/>
    </row>
    <row r="177" spans="4:5" ht="15">
      <c r="D177" s="20"/>
      <c r="E177" s="40"/>
    </row>
    <row r="179" spans="4:5">
      <c r="D179" s="11" t="s">
        <v>72</v>
      </c>
      <c r="E179" s="18">
        <f>SUMIF($D$144:$D$174,"Montante Atualizado",$E$144:$E$174)-SUMIF($D$144:$D$174,"Diferença",$E$144:$E$174)</f>
        <v>19390614.351373017</v>
      </c>
    </row>
    <row r="1178" spans="3:16">
      <c r="N1178" s="11"/>
      <c r="O1178" s="11"/>
      <c r="P1178" s="11"/>
    </row>
    <row r="1179" spans="3:16">
      <c r="C1179" s="29"/>
      <c r="N1179" s="11"/>
      <c r="O1179" s="11"/>
      <c r="P1179" s="11"/>
    </row>
    <row r="1180" spans="3:16">
      <c r="C1180" s="29"/>
      <c r="N1180" s="11"/>
      <c r="O1180" s="11"/>
      <c r="P1180" s="11"/>
    </row>
    <row r="1181" spans="3:16">
      <c r="C1181" s="29"/>
      <c r="N1181" s="11"/>
      <c r="O1181" s="11"/>
      <c r="P1181" s="11"/>
    </row>
    <row r="1182" spans="3:16">
      <c r="C1182" s="29"/>
      <c r="N1182" s="11"/>
      <c r="O1182" s="11"/>
      <c r="P1182" s="11"/>
    </row>
    <row r="1183" spans="3:16">
      <c r="C1183" s="29"/>
      <c r="N1183" s="11"/>
      <c r="O1183" s="11"/>
      <c r="P1183" s="11"/>
    </row>
    <row r="1184" spans="3:16">
      <c r="C1184" s="29"/>
      <c r="N1184" s="11"/>
      <c r="O1184" s="11"/>
      <c r="P1184" s="11"/>
    </row>
    <row r="1185" spans="3:16">
      <c r="C1185" s="29"/>
      <c r="N1185" s="11"/>
      <c r="O1185" s="11"/>
      <c r="P1185" s="11"/>
    </row>
    <row r="1186" spans="3:16">
      <c r="C1186" s="29"/>
      <c r="N1186" s="11"/>
      <c r="O1186" s="11"/>
      <c r="P1186" s="11"/>
    </row>
    <row r="1187" spans="3:16">
      <c r="C1187" s="29"/>
    </row>
  </sheetData>
  <mergeCells count="2">
    <mergeCell ref="G142:H142"/>
    <mergeCell ref="D143:E143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1139"/>
  <sheetViews>
    <sheetView showGridLines="0" zoomScale="80" zoomScaleNormal="80" workbookViewId="0">
      <pane xSplit="3" ySplit="8" topLeftCell="E97" activePane="bottomRight" state="frozen"/>
      <selection activeCell="D12" sqref="D12"/>
      <selection pane="topRight" activeCell="D12" sqref="D12"/>
      <selection pane="bottomLeft" activeCell="D12" sqref="D12"/>
      <selection pane="bottomRight" activeCell="I103" sqref="I103"/>
    </sheetView>
  </sheetViews>
  <sheetFormatPr defaultColWidth="9.1796875" defaultRowHeight="14.5"/>
  <cols>
    <col min="1" max="1" width="3.7265625" style="11" customWidth="1"/>
    <col min="2" max="2" width="16.7265625" style="11" customWidth="1"/>
    <col min="3" max="3" width="16.453125" style="11" customWidth="1"/>
    <col min="4" max="4" width="77.7265625" style="11" customWidth="1"/>
    <col min="5" max="9" width="24.7265625" style="11" customWidth="1"/>
    <col min="10" max="11" width="10.7265625" style="11" bestFit="1" customWidth="1"/>
    <col min="12" max="12" width="21.54296875" style="11" bestFit="1" customWidth="1"/>
    <col min="13" max="13" width="15.453125" style="11" bestFit="1" customWidth="1"/>
    <col min="14" max="15" width="20.7265625" style="24" customWidth="1"/>
    <col min="16" max="16384" width="9.1796875" style="11"/>
  </cols>
  <sheetData>
    <row r="1" spans="2:15" s="1" customFormat="1"/>
    <row r="2" spans="2:15" s="1" customFormat="1" ht="24">
      <c r="D2" s="4" t="s">
        <v>40</v>
      </c>
      <c r="H2" s="2"/>
    </row>
    <row r="3" spans="2:15" s="1" customFormat="1" ht="24">
      <c r="D3" s="4" t="s">
        <v>35</v>
      </c>
      <c r="H3" s="2"/>
    </row>
    <row r="4" spans="2:15" ht="16">
      <c r="B4" s="60"/>
      <c r="C4" s="58"/>
      <c r="E4" s="10"/>
      <c r="F4" s="49"/>
      <c r="G4" s="10"/>
      <c r="H4" s="10"/>
      <c r="I4" s="10"/>
      <c r="J4" s="10"/>
      <c r="K4" s="10"/>
      <c r="L4" s="10"/>
      <c r="M4" s="10"/>
      <c r="N4" s="9"/>
      <c r="O4" s="11"/>
    </row>
    <row r="5" spans="2:15" ht="16">
      <c r="B5" s="60" t="s">
        <v>60</v>
      </c>
      <c r="D5" s="60" t="s">
        <v>63</v>
      </c>
      <c r="E5" s="10"/>
      <c r="F5" s="49"/>
      <c r="G5" s="10"/>
      <c r="H5" s="10"/>
      <c r="I5" s="10"/>
      <c r="J5" s="10"/>
      <c r="K5" s="10"/>
      <c r="L5" s="10"/>
      <c r="M5" s="10"/>
      <c r="N5" s="9"/>
      <c r="O5" s="11"/>
    </row>
    <row r="6" spans="2:15" ht="16">
      <c r="B6" s="60" t="s">
        <v>61</v>
      </c>
      <c r="D6" s="60" t="s">
        <v>69</v>
      </c>
      <c r="E6" s="10"/>
      <c r="F6" s="49"/>
      <c r="G6" s="10"/>
      <c r="H6" s="10"/>
      <c r="I6" s="10"/>
      <c r="J6" s="10"/>
      <c r="K6" s="10"/>
      <c r="L6" s="10"/>
      <c r="M6" s="10"/>
      <c r="N6" s="9"/>
      <c r="O6" s="11"/>
    </row>
    <row r="7" spans="2:15" ht="16">
      <c r="B7" s="60"/>
      <c r="C7" s="58"/>
      <c r="E7" s="10"/>
      <c r="F7" s="49"/>
      <c r="G7" s="10"/>
      <c r="H7" s="10"/>
      <c r="I7" s="10"/>
      <c r="J7" s="10"/>
      <c r="K7" s="10"/>
      <c r="L7" s="10"/>
      <c r="M7" s="10"/>
      <c r="N7" s="9"/>
      <c r="O7" s="11"/>
    </row>
    <row r="8" spans="2:15" s="9" customFormat="1" ht="30" customHeight="1">
      <c r="B8" s="30" t="s">
        <v>34</v>
      </c>
      <c r="C8" s="30" t="s">
        <v>52</v>
      </c>
      <c r="D8" s="30" t="s">
        <v>53</v>
      </c>
      <c r="E8" s="59" t="s">
        <v>54</v>
      </c>
      <c r="F8" s="59" t="s">
        <v>55</v>
      </c>
      <c r="G8" s="59" t="s">
        <v>57</v>
      </c>
      <c r="H8" s="59" t="s">
        <v>56</v>
      </c>
      <c r="I8" s="59" t="s">
        <v>59</v>
      </c>
      <c r="J8" s="31"/>
      <c r="K8" s="13"/>
    </row>
    <row r="9" spans="2:15" ht="20.149999999999999" customHeight="1">
      <c r="B9" s="61">
        <v>42948</v>
      </c>
      <c r="C9" s="61">
        <v>42979</v>
      </c>
      <c r="D9" s="62" t="s">
        <v>1</v>
      </c>
      <c r="E9" s="63">
        <v>35.634</v>
      </c>
      <c r="F9" s="62">
        <v>0.5</v>
      </c>
      <c r="G9" s="64">
        <v>1278.7975537474276</v>
      </c>
      <c r="H9" s="64">
        <v>199.55</v>
      </c>
      <c r="I9" s="65">
        <f t="shared" ref="I9:I25" si="0">E9*F9*(G9-H9)</f>
        <v>19228.953665117919</v>
      </c>
      <c r="J9" s="17"/>
      <c r="K9" s="18"/>
      <c r="N9" s="11"/>
      <c r="O9" s="11"/>
    </row>
    <row r="10" spans="2:15" ht="20.149999999999999" customHeight="1">
      <c r="B10" s="61">
        <v>42979</v>
      </c>
      <c r="C10" s="61">
        <v>43009</v>
      </c>
      <c r="D10" s="62" t="s">
        <v>1</v>
      </c>
      <c r="E10" s="63">
        <v>108.215</v>
      </c>
      <c r="F10" s="62">
        <v>0.5</v>
      </c>
      <c r="G10" s="64">
        <v>1278.7975537474276</v>
      </c>
      <c r="H10" s="64">
        <v>199.55</v>
      </c>
      <c r="I10" s="65">
        <f t="shared" si="0"/>
        <v>58395.387014388943</v>
      </c>
      <c r="J10" s="17"/>
      <c r="K10" s="18"/>
      <c r="N10" s="11"/>
      <c r="O10" s="11"/>
    </row>
    <row r="11" spans="2:15" ht="20.149999999999999" customHeight="1">
      <c r="B11" s="61">
        <v>43009</v>
      </c>
      <c r="C11" s="61">
        <v>43040</v>
      </c>
      <c r="D11" s="62" t="s">
        <v>1</v>
      </c>
      <c r="E11" s="63">
        <v>109.59</v>
      </c>
      <c r="F11" s="62">
        <v>0.5</v>
      </c>
      <c r="G11" s="64">
        <v>1278.7975537474276</v>
      </c>
      <c r="H11" s="64">
        <v>199.55</v>
      </c>
      <c r="I11" s="65">
        <f t="shared" si="0"/>
        <v>59137.369707590304</v>
      </c>
      <c r="J11" s="17"/>
      <c r="K11" s="18"/>
      <c r="N11" s="11"/>
      <c r="O11" s="11"/>
    </row>
    <row r="12" spans="2:15" ht="20.149999999999999" customHeight="1">
      <c r="B12" s="61">
        <v>43040</v>
      </c>
      <c r="C12" s="61">
        <v>43070</v>
      </c>
      <c r="D12" s="62" t="s">
        <v>1</v>
      </c>
      <c r="E12" s="63">
        <v>97.61</v>
      </c>
      <c r="F12" s="66">
        <v>0.5</v>
      </c>
      <c r="G12" s="64">
        <v>1278.7975537474276</v>
      </c>
      <c r="H12" s="64">
        <v>199.55</v>
      </c>
      <c r="I12" s="65">
        <f t="shared" si="0"/>
        <v>52672.676860643209</v>
      </c>
      <c r="J12" s="17"/>
      <c r="K12" s="18"/>
      <c r="N12" s="11"/>
      <c r="O12" s="11"/>
    </row>
    <row r="13" spans="2:15" ht="20.149999999999999" customHeight="1">
      <c r="B13" s="61">
        <v>43070</v>
      </c>
      <c r="C13" s="61">
        <v>43101</v>
      </c>
      <c r="D13" s="67" t="s">
        <v>1</v>
      </c>
      <c r="E13" s="68">
        <v>91.844999999999999</v>
      </c>
      <c r="F13" s="62">
        <v>0.5</v>
      </c>
      <c r="G13" s="64">
        <v>1278.7975537474276</v>
      </c>
      <c r="H13" s="64">
        <v>199.55</v>
      </c>
      <c r="I13" s="65">
        <f t="shared" si="0"/>
        <v>49561.745786966247</v>
      </c>
      <c r="J13" s="17"/>
      <c r="K13" s="18"/>
      <c r="N13" s="11"/>
      <c r="O13" s="11"/>
    </row>
    <row r="14" spans="2:15" ht="20.149999999999999" customHeight="1">
      <c r="B14" s="61">
        <v>43101</v>
      </c>
      <c r="C14" s="61">
        <v>43132</v>
      </c>
      <c r="D14" s="67" t="s">
        <v>1</v>
      </c>
      <c r="E14" s="68">
        <v>91.073999999999998</v>
      </c>
      <c r="F14" s="62">
        <v>0.5</v>
      </c>
      <c r="G14" s="64">
        <v>1278.7975537474276</v>
      </c>
      <c r="H14" s="64">
        <v>199.55</v>
      </c>
      <c r="I14" s="65">
        <f t="shared" si="0"/>
        <v>49145.695854996615</v>
      </c>
      <c r="J14" s="17"/>
      <c r="K14" s="18"/>
      <c r="N14" s="11"/>
      <c r="O14" s="11"/>
    </row>
    <row r="15" spans="2:15" ht="20.149999999999999" customHeight="1">
      <c r="B15" s="61">
        <v>43132</v>
      </c>
      <c r="C15" s="61">
        <v>43160</v>
      </c>
      <c r="D15" s="67" t="s">
        <v>1</v>
      </c>
      <c r="E15" s="68">
        <v>79.671000000000006</v>
      </c>
      <c r="F15" s="62">
        <v>0.5</v>
      </c>
      <c r="G15" s="64">
        <v>1278.7975537474276</v>
      </c>
      <c r="H15" s="64">
        <v>199.55</v>
      </c>
      <c r="I15" s="65">
        <f t="shared" si="0"/>
        <v>42992.365927305662</v>
      </c>
      <c r="J15" s="17"/>
      <c r="K15" s="18"/>
      <c r="N15" s="11"/>
      <c r="O15" s="11"/>
    </row>
    <row r="16" spans="2:15" ht="20.149999999999999" customHeight="1">
      <c r="B16" s="61">
        <v>43160</v>
      </c>
      <c r="C16" s="61">
        <v>43191</v>
      </c>
      <c r="D16" s="67" t="s">
        <v>1</v>
      </c>
      <c r="E16" s="68">
        <v>91.224999999999994</v>
      </c>
      <c r="F16" s="62">
        <v>0.5</v>
      </c>
      <c r="G16" s="64">
        <v>1278.7975537474276</v>
      </c>
      <c r="H16" s="64">
        <v>199.55</v>
      </c>
      <c r="I16" s="65">
        <f t="shared" si="0"/>
        <v>49227.17904530454</v>
      </c>
      <c r="J16" s="17"/>
      <c r="K16" s="18"/>
      <c r="N16" s="11"/>
      <c r="O16" s="11"/>
    </row>
    <row r="17" spans="2:15" ht="20.149999999999999" customHeight="1">
      <c r="B17" s="61">
        <v>43191</v>
      </c>
      <c r="C17" s="61">
        <v>43221</v>
      </c>
      <c r="D17" s="67" t="s">
        <v>1</v>
      </c>
      <c r="E17" s="68">
        <v>89.933000000000007</v>
      </c>
      <c r="F17" s="62">
        <v>0.5</v>
      </c>
      <c r="G17" s="64">
        <v>1278.7975537474276</v>
      </c>
      <c r="H17" s="64">
        <v>199.55</v>
      </c>
      <c r="I17" s="65">
        <f t="shared" si="0"/>
        <v>48529.985125583713</v>
      </c>
      <c r="J17" s="17"/>
      <c r="K17" s="18"/>
      <c r="N17" s="11"/>
      <c r="O17" s="11"/>
    </row>
    <row r="18" spans="2:15" ht="20.149999999999999" customHeight="1">
      <c r="B18" s="61">
        <v>43221</v>
      </c>
      <c r="C18" s="61">
        <v>43252</v>
      </c>
      <c r="D18" s="67" t="s">
        <v>1</v>
      </c>
      <c r="E18" s="68">
        <v>93.626999999999995</v>
      </c>
      <c r="F18" s="62">
        <v>0.5</v>
      </c>
      <c r="G18" s="64">
        <v>1278.7975537474276</v>
      </c>
      <c r="H18" s="64">
        <v>199.55</v>
      </c>
      <c r="I18" s="65">
        <f t="shared" si="0"/>
        <v>50523.355357355205</v>
      </c>
      <c r="J18" s="17"/>
      <c r="K18" s="18"/>
      <c r="N18" s="11"/>
      <c r="O18" s="11"/>
    </row>
    <row r="19" spans="2:15" ht="20.149999999999999" customHeight="1">
      <c r="B19" s="61">
        <v>43252</v>
      </c>
      <c r="C19" s="61">
        <v>43282</v>
      </c>
      <c r="D19" s="67" t="s">
        <v>1</v>
      </c>
      <c r="E19" s="68">
        <v>85.778000000000006</v>
      </c>
      <c r="F19" s="62">
        <v>0.5</v>
      </c>
      <c r="G19" s="64">
        <v>1278.7975537474276</v>
      </c>
      <c r="H19" s="64">
        <v>199.55</v>
      </c>
      <c r="I19" s="65">
        <f t="shared" si="0"/>
        <v>46287.848332673428</v>
      </c>
      <c r="J19" s="17"/>
      <c r="K19" s="18"/>
      <c r="N19" s="11"/>
      <c r="O19" s="11"/>
    </row>
    <row r="20" spans="2:15" ht="20.149999999999999" customHeight="1">
      <c r="B20" s="61">
        <v>43282</v>
      </c>
      <c r="C20" s="61">
        <v>43313</v>
      </c>
      <c r="D20" s="67" t="s">
        <v>1</v>
      </c>
      <c r="E20" s="68">
        <v>85.158000000000001</v>
      </c>
      <c r="F20" s="62">
        <v>0.5</v>
      </c>
      <c r="G20" s="64">
        <v>1278.7975537474276</v>
      </c>
      <c r="H20" s="64">
        <v>199.55</v>
      </c>
      <c r="I20" s="65">
        <f t="shared" si="0"/>
        <v>45953.281591011721</v>
      </c>
      <c r="J20" s="17"/>
      <c r="K20" s="18"/>
      <c r="N20" s="11"/>
      <c r="O20" s="11"/>
    </row>
    <row r="21" spans="2:15" ht="20.149999999999999" customHeight="1">
      <c r="B21" s="6">
        <v>43313</v>
      </c>
      <c r="C21" s="6">
        <v>43344</v>
      </c>
      <c r="D21" s="32" t="s">
        <v>1</v>
      </c>
      <c r="E21" s="33">
        <v>91.546999999999997</v>
      </c>
      <c r="F21" s="14">
        <v>0.5</v>
      </c>
      <c r="G21" s="16">
        <v>1278.7975537474276</v>
      </c>
      <c r="H21" s="16">
        <v>199.55</v>
      </c>
      <c r="I21" s="7">
        <f t="shared" si="0"/>
        <v>49400.937901457881</v>
      </c>
      <c r="J21" s="17"/>
      <c r="K21" s="18"/>
      <c r="N21" s="11"/>
      <c r="O21" s="11"/>
    </row>
    <row r="22" spans="2:15" ht="20.149999999999999" customHeight="1">
      <c r="B22" s="6">
        <v>43344</v>
      </c>
      <c r="C22" s="6">
        <v>43374</v>
      </c>
      <c r="D22" s="32" t="s">
        <v>1</v>
      </c>
      <c r="E22" s="33">
        <v>88.393000000000001</v>
      </c>
      <c r="F22" s="14">
        <v>0.5</v>
      </c>
      <c r="G22" s="16">
        <v>1278.7975537474276</v>
      </c>
      <c r="H22" s="16">
        <v>199.55</v>
      </c>
      <c r="I22" s="7">
        <f t="shared" si="0"/>
        <v>47698.964509198187</v>
      </c>
      <c r="J22" s="17"/>
      <c r="K22" s="18"/>
      <c r="N22" s="11"/>
      <c r="O22" s="11"/>
    </row>
    <row r="23" spans="2:15" ht="20.149999999999999" customHeight="1">
      <c r="B23" s="6">
        <v>43374</v>
      </c>
      <c r="C23" s="6">
        <v>43405</v>
      </c>
      <c r="D23" s="32" t="s">
        <v>1</v>
      </c>
      <c r="E23" s="33">
        <v>93.748000000000005</v>
      </c>
      <c r="F23" s="14">
        <v>0.5</v>
      </c>
      <c r="G23" s="16">
        <v>1278.7975537474276</v>
      </c>
      <c r="H23" s="16">
        <v>199.55</v>
      </c>
      <c r="I23" s="7">
        <f t="shared" si="0"/>
        <v>50588.649834356926</v>
      </c>
      <c r="J23" s="17"/>
      <c r="K23" s="18"/>
      <c r="N23" s="11"/>
      <c r="O23" s="11"/>
    </row>
    <row r="24" spans="2:15" ht="20.149999999999999" customHeight="1">
      <c r="B24" s="6">
        <v>43405</v>
      </c>
      <c r="C24" s="6">
        <v>43435</v>
      </c>
      <c r="D24" s="32" t="s">
        <v>1</v>
      </c>
      <c r="E24" s="33">
        <v>87.244</v>
      </c>
      <c r="F24" s="14">
        <v>0.5</v>
      </c>
      <c r="G24" s="16">
        <v>1278.7975537474276</v>
      </c>
      <c r="H24" s="16">
        <v>199.55</v>
      </c>
      <c r="I24" s="7">
        <f t="shared" si="0"/>
        <v>47078.936789570289</v>
      </c>
      <c r="J24" s="17"/>
      <c r="K24" s="18"/>
      <c r="N24" s="11"/>
      <c r="O24" s="11"/>
    </row>
    <row r="25" spans="2:15" ht="20.149999999999999" customHeight="1">
      <c r="B25" s="6">
        <v>43435</v>
      </c>
      <c r="C25" s="6">
        <v>43466</v>
      </c>
      <c r="D25" s="32" t="s">
        <v>1</v>
      </c>
      <c r="E25" s="33">
        <v>81.965999999999994</v>
      </c>
      <c r="F25" s="14">
        <v>0.5</v>
      </c>
      <c r="G25" s="16">
        <v>1278.7975537474276</v>
      </c>
      <c r="H25" s="16">
        <v>199.55</v>
      </c>
      <c r="I25" s="7">
        <f t="shared" si="0"/>
        <v>44230.802495230826</v>
      </c>
      <c r="J25" s="17"/>
      <c r="K25" s="18"/>
      <c r="N25" s="11"/>
      <c r="O25" s="11"/>
    </row>
    <row r="26" spans="2:15" ht="20.149999999999999" customHeight="1">
      <c r="B26" s="6">
        <v>43466</v>
      </c>
      <c r="C26" s="6">
        <v>43497</v>
      </c>
      <c r="D26" s="32" t="s">
        <v>1</v>
      </c>
      <c r="E26" s="33">
        <v>83.222999999999999</v>
      </c>
      <c r="F26" s="14">
        <v>0.5</v>
      </c>
      <c r="G26" s="16">
        <v>1278.7975537474276</v>
      </c>
      <c r="H26" s="16">
        <v>199.55</v>
      </c>
      <c r="I26" s="7">
        <f>ROUND(E26*F26*(G26-H26),2)</f>
        <v>44909.11</v>
      </c>
      <c r="J26" s="17"/>
      <c r="K26" s="18"/>
      <c r="N26" s="11"/>
      <c r="O26" s="11"/>
    </row>
    <row r="27" spans="2:15" ht="20.149999999999999" customHeight="1">
      <c r="B27" s="6">
        <v>43497</v>
      </c>
      <c r="C27" s="6">
        <v>43525</v>
      </c>
      <c r="D27" s="32" t="s">
        <v>1</v>
      </c>
      <c r="E27" s="33">
        <v>77.590999999999994</v>
      </c>
      <c r="F27" s="14">
        <v>0.5</v>
      </c>
      <c r="G27" s="16">
        <v>1278.7975537474276</v>
      </c>
      <c r="H27" s="16">
        <v>199.55</v>
      </c>
      <c r="I27" s="7">
        <f t="shared" ref="I27:I34" si="1">ROUND(E27*F27*(G27-H27),2)</f>
        <v>41869.949999999997</v>
      </c>
      <c r="J27" s="17"/>
      <c r="K27" s="18"/>
      <c r="N27" s="11"/>
      <c r="O27" s="11"/>
    </row>
    <row r="28" spans="2:15" ht="20.149999999999999" customHeight="1">
      <c r="B28" s="6">
        <v>43525</v>
      </c>
      <c r="C28" s="6">
        <v>43556</v>
      </c>
      <c r="D28" s="32" t="s">
        <v>1</v>
      </c>
      <c r="E28" s="33">
        <v>89.26</v>
      </c>
      <c r="F28" s="14">
        <v>0.5</v>
      </c>
      <c r="G28" s="16">
        <v>1278.7975537474276</v>
      </c>
      <c r="H28" s="16">
        <v>199.55</v>
      </c>
      <c r="I28" s="7">
        <f t="shared" si="1"/>
        <v>48166.82</v>
      </c>
      <c r="J28" s="17"/>
      <c r="K28" s="18"/>
      <c r="N28" s="11"/>
      <c r="O28" s="11"/>
    </row>
    <row r="29" spans="2:15" ht="20.149999999999999" customHeight="1">
      <c r="B29" s="6">
        <v>43556</v>
      </c>
      <c r="C29" s="6">
        <v>43586</v>
      </c>
      <c r="D29" s="32" t="s">
        <v>1</v>
      </c>
      <c r="E29" s="33">
        <v>88.091999999999999</v>
      </c>
      <c r="F29" s="14">
        <v>0.5</v>
      </c>
      <c r="G29" s="16">
        <v>1278.7975537474276</v>
      </c>
      <c r="H29" s="16">
        <v>199.55</v>
      </c>
      <c r="I29" s="7">
        <f t="shared" si="1"/>
        <v>47536.54</v>
      </c>
      <c r="J29" s="17"/>
      <c r="K29" s="18"/>
      <c r="N29" s="11"/>
      <c r="O29" s="11"/>
    </row>
    <row r="30" spans="2:15" ht="20.149999999999999" customHeight="1">
      <c r="B30" s="6">
        <v>43586</v>
      </c>
      <c r="C30" s="6">
        <v>43617</v>
      </c>
      <c r="D30" s="32" t="s">
        <v>1</v>
      </c>
      <c r="E30" s="33">
        <v>93.037999999999997</v>
      </c>
      <c r="F30" s="14">
        <v>0.5</v>
      </c>
      <c r="G30" s="16">
        <v>1278.7975537474199</v>
      </c>
      <c r="H30" s="16">
        <v>199.55</v>
      </c>
      <c r="I30" s="7">
        <f t="shared" si="1"/>
        <v>50205.52</v>
      </c>
      <c r="J30" s="17"/>
      <c r="K30" s="18"/>
      <c r="N30" s="11"/>
      <c r="O30" s="11"/>
    </row>
    <row r="31" spans="2:15" ht="20.149999999999999" customHeight="1">
      <c r="B31" s="6">
        <v>43617</v>
      </c>
      <c r="C31" s="6">
        <v>43647</v>
      </c>
      <c r="D31" s="32" t="s">
        <v>1</v>
      </c>
      <c r="E31" s="33">
        <v>87.667000000000002</v>
      </c>
      <c r="F31" s="14">
        <v>0.5</v>
      </c>
      <c r="G31" s="16">
        <v>1278.7976000000001</v>
      </c>
      <c r="H31" s="16">
        <v>199.55</v>
      </c>
      <c r="I31" s="7">
        <f t="shared" si="1"/>
        <v>47307.199999999997</v>
      </c>
      <c r="J31" s="17"/>
      <c r="K31" s="18"/>
      <c r="N31" s="11"/>
      <c r="O31" s="11"/>
    </row>
    <row r="32" spans="2:15" ht="20.149999999999999" customHeight="1">
      <c r="B32" s="6">
        <v>43647</v>
      </c>
      <c r="C32" s="6">
        <v>43678</v>
      </c>
      <c r="D32" s="32" t="s">
        <v>1</v>
      </c>
      <c r="E32" s="33">
        <v>90.606999999999999</v>
      </c>
      <c r="F32" s="14">
        <v>0.5</v>
      </c>
      <c r="G32" s="16">
        <v>1278.7976000000001</v>
      </c>
      <c r="H32" s="16">
        <v>199.55</v>
      </c>
      <c r="I32" s="7">
        <f t="shared" si="1"/>
        <v>48893.69</v>
      </c>
      <c r="J32" s="17"/>
      <c r="K32" s="18"/>
      <c r="N32" s="11"/>
      <c r="O32" s="11"/>
    </row>
    <row r="33" spans="2:15" ht="20.149999999999999" customHeight="1">
      <c r="B33" s="61">
        <v>43678</v>
      </c>
      <c r="C33" s="61">
        <v>43709</v>
      </c>
      <c r="D33" s="67" t="s">
        <v>1</v>
      </c>
      <c r="E33" s="68">
        <v>92.322000000000003</v>
      </c>
      <c r="F33" s="62">
        <v>0.5</v>
      </c>
      <c r="G33" s="64">
        <v>1278.7976000000001</v>
      </c>
      <c r="H33" s="64">
        <v>199.55</v>
      </c>
      <c r="I33" s="65">
        <f t="shared" si="1"/>
        <v>49819.15</v>
      </c>
      <c r="J33" s="17"/>
      <c r="K33" s="18"/>
      <c r="N33" s="11"/>
      <c r="O33" s="11"/>
    </row>
    <row r="34" spans="2:15" ht="20.149999999999999" customHeight="1">
      <c r="B34" s="61">
        <v>43709</v>
      </c>
      <c r="C34" s="61">
        <v>43739</v>
      </c>
      <c r="D34" s="67" t="s">
        <v>1</v>
      </c>
      <c r="E34" s="68">
        <v>96.170000999999999</v>
      </c>
      <c r="F34" s="62">
        <v>0.5</v>
      </c>
      <c r="G34" s="64">
        <v>1278.7976000000001</v>
      </c>
      <c r="H34" s="64">
        <v>199.55</v>
      </c>
      <c r="I34" s="65">
        <f t="shared" si="1"/>
        <v>51895.62</v>
      </c>
      <c r="J34" s="17"/>
      <c r="K34" s="18"/>
      <c r="N34" s="11"/>
      <c r="O34" s="11"/>
    </row>
    <row r="35" spans="2:15" ht="20.149999999999999" customHeight="1">
      <c r="B35" s="61">
        <v>43739</v>
      </c>
      <c r="C35" s="61">
        <v>43770</v>
      </c>
      <c r="D35" s="67" t="s">
        <v>1</v>
      </c>
      <c r="E35" s="68">
        <v>93.817751000000001</v>
      </c>
      <c r="F35" s="62">
        <v>0.5</v>
      </c>
      <c r="G35" s="64">
        <v>1278.7976000000001</v>
      </c>
      <c r="H35" s="64">
        <v>199.55</v>
      </c>
      <c r="I35" s="65">
        <f t="shared" ref="I35" si="2">ROUND(E35*F35*(G35-H35),2)</f>
        <v>50626.29</v>
      </c>
      <c r="J35" s="17"/>
      <c r="K35" s="18"/>
      <c r="N35" s="11"/>
      <c r="O35" s="11"/>
    </row>
    <row r="36" spans="2:15" ht="20.149999999999999" customHeight="1">
      <c r="B36" s="61">
        <v>43770</v>
      </c>
      <c r="C36" s="61">
        <v>43800</v>
      </c>
      <c r="D36" s="67" t="s">
        <v>1</v>
      </c>
      <c r="E36" s="68">
        <v>92.052000000000007</v>
      </c>
      <c r="F36" s="62">
        <v>0.5</v>
      </c>
      <c r="G36" s="64">
        <v>1278.7976000000001</v>
      </c>
      <c r="H36" s="64">
        <v>199.55</v>
      </c>
      <c r="I36" s="65">
        <f t="shared" ref="I36:I37" si="3">ROUND(E36*F36*(G36-H36),2)</f>
        <v>49673.45</v>
      </c>
      <c r="J36" s="17"/>
      <c r="K36" s="18"/>
      <c r="N36" s="11"/>
      <c r="O36" s="11"/>
    </row>
    <row r="37" spans="2:15" ht="20.149999999999999" customHeight="1">
      <c r="B37" s="61">
        <v>43800</v>
      </c>
      <c r="C37" s="61">
        <v>43831</v>
      </c>
      <c r="D37" s="67" t="s">
        <v>1</v>
      </c>
      <c r="E37" s="68">
        <v>93.084999999999994</v>
      </c>
      <c r="F37" s="62">
        <v>0.5</v>
      </c>
      <c r="G37" s="64">
        <v>1278.7976000000001</v>
      </c>
      <c r="H37" s="64">
        <v>199.55</v>
      </c>
      <c r="I37" s="65">
        <f t="shared" si="3"/>
        <v>50230.879999999997</v>
      </c>
      <c r="J37" s="17"/>
      <c r="K37" s="18"/>
      <c r="N37" s="11"/>
      <c r="O37" s="11"/>
    </row>
    <row r="38" spans="2:15" ht="20.149999999999999" customHeight="1">
      <c r="B38" s="61">
        <v>43831</v>
      </c>
      <c r="C38" s="61">
        <v>43862</v>
      </c>
      <c r="D38" s="67" t="s">
        <v>1</v>
      </c>
      <c r="E38" s="68">
        <v>88.417000000000002</v>
      </c>
      <c r="F38" s="62">
        <v>0.5</v>
      </c>
      <c r="G38" s="64">
        <v>1278.7976000000001</v>
      </c>
      <c r="H38" s="64">
        <v>199.55</v>
      </c>
      <c r="I38" s="65">
        <f t="shared" ref="I38:I39" si="4">ROUND(E38*F38*(G38-H38),2)</f>
        <v>47711.92</v>
      </c>
      <c r="J38" s="17"/>
      <c r="K38" s="18"/>
      <c r="N38" s="11"/>
      <c r="O38" s="11"/>
    </row>
    <row r="39" spans="2:15" ht="20.149999999999999" customHeight="1">
      <c r="B39" s="61">
        <v>43862</v>
      </c>
      <c r="C39" s="61">
        <v>43891</v>
      </c>
      <c r="D39" s="67" t="s">
        <v>1</v>
      </c>
      <c r="E39" s="68">
        <v>85.325000000000003</v>
      </c>
      <c r="F39" s="62">
        <v>0.5</v>
      </c>
      <c r="G39" s="64">
        <v>1278.7976000000001</v>
      </c>
      <c r="H39" s="64">
        <v>199.55</v>
      </c>
      <c r="I39" s="65">
        <f t="shared" si="4"/>
        <v>46043.4</v>
      </c>
      <c r="J39" s="17"/>
      <c r="K39" s="18"/>
      <c r="N39" s="11"/>
      <c r="O39" s="11"/>
    </row>
    <row r="40" spans="2:15" ht="20.149999999999999" customHeight="1">
      <c r="B40" s="61">
        <v>43891</v>
      </c>
      <c r="C40" s="61">
        <v>43922</v>
      </c>
      <c r="D40" s="67" t="s">
        <v>1</v>
      </c>
      <c r="E40" s="68">
        <v>90.106999999999999</v>
      </c>
      <c r="F40" s="62">
        <v>0.5</v>
      </c>
      <c r="G40" s="64">
        <v>1278.7976000000001</v>
      </c>
      <c r="H40" s="64">
        <v>199.55</v>
      </c>
      <c r="I40" s="65">
        <f t="shared" ref="I40" si="5">ROUND(E40*F40*(G40-H40),2)</f>
        <v>48623.88</v>
      </c>
      <c r="J40" s="17"/>
      <c r="K40" s="18"/>
      <c r="N40" s="11"/>
      <c r="O40" s="11"/>
    </row>
    <row r="41" spans="2:15" ht="20.149999999999999" customHeight="1">
      <c r="B41" s="61">
        <v>43922</v>
      </c>
      <c r="C41" s="61">
        <v>43952</v>
      </c>
      <c r="D41" s="67" t="s">
        <v>1</v>
      </c>
      <c r="E41" s="68">
        <v>89.87</v>
      </c>
      <c r="F41" s="62">
        <v>0.5</v>
      </c>
      <c r="G41" s="64">
        <v>1278.7976000000001</v>
      </c>
      <c r="H41" s="64">
        <v>199.55</v>
      </c>
      <c r="I41" s="65">
        <f t="shared" ref="I41" si="6">ROUND(E41*F41*(G41-H41),2)</f>
        <v>48495.99</v>
      </c>
      <c r="J41" s="17"/>
      <c r="K41" s="18"/>
      <c r="N41" s="11"/>
      <c r="O41" s="11"/>
    </row>
    <row r="42" spans="2:15" ht="20.149999999999999" customHeight="1">
      <c r="B42" s="61">
        <v>43952</v>
      </c>
      <c r="C42" s="61">
        <v>43983</v>
      </c>
      <c r="D42" s="67" t="s">
        <v>1</v>
      </c>
      <c r="E42" s="68">
        <v>91.579132999999999</v>
      </c>
      <c r="F42" s="62">
        <v>0.5</v>
      </c>
      <c r="G42" s="64">
        <v>1278.7976000000001</v>
      </c>
      <c r="H42" s="64">
        <v>199.55</v>
      </c>
      <c r="I42" s="65">
        <f t="shared" ref="I42" si="7">ROUND(E42*F42*(G42-H42),2)</f>
        <v>49418.28</v>
      </c>
      <c r="J42" s="17"/>
      <c r="K42" s="18"/>
      <c r="N42" s="11"/>
      <c r="O42" s="11"/>
    </row>
    <row r="43" spans="2:15" ht="20.149999999999999" customHeight="1">
      <c r="B43" s="61">
        <v>43983</v>
      </c>
      <c r="C43" s="61">
        <v>44013</v>
      </c>
      <c r="D43" s="67" t="s">
        <v>1</v>
      </c>
      <c r="E43" s="68">
        <v>89.06</v>
      </c>
      <c r="F43" s="62">
        <v>0.5</v>
      </c>
      <c r="G43" s="64">
        <v>1278.7976000000001</v>
      </c>
      <c r="H43" s="64">
        <v>199.55</v>
      </c>
      <c r="I43" s="65">
        <f t="shared" ref="I43" si="8">ROUND(E43*F43*(G43-H43),2)</f>
        <v>48058.9</v>
      </c>
      <c r="J43" s="17"/>
      <c r="K43" s="18"/>
      <c r="N43" s="11"/>
      <c r="O43" s="11"/>
    </row>
    <row r="44" spans="2:15" ht="20.149999999999999" customHeight="1">
      <c r="B44" s="61">
        <v>44013</v>
      </c>
      <c r="C44" s="61">
        <v>44044</v>
      </c>
      <c r="D44" s="67" t="s">
        <v>1</v>
      </c>
      <c r="E44" s="68">
        <v>92.147999999999996</v>
      </c>
      <c r="F44" s="62">
        <v>0.5</v>
      </c>
      <c r="G44" s="64">
        <v>1278.7976000000001</v>
      </c>
      <c r="H44" s="64">
        <v>199.55</v>
      </c>
      <c r="I44" s="65">
        <f t="shared" ref="I44" si="9">ROUND(E44*F44*(G44-H44),2)</f>
        <v>49725.25</v>
      </c>
      <c r="J44" s="17"/>
      <c r="K44" s="18"/>
      <c r="N44" s="11"/>
      <c r="O44" s="11"/>
    </row>
    <row r="45" spans="2:15" ht="20.149999999999999" customHeight="1">
      <c r="B45" s="6">
        <v>44044</v>
      </c>
      <c r="C45" s="6">
        <v>44075</v>
      </c>
      <c r="D45" s="32" t="s">
        <v>1</v>
      </c>
      <c r="E45" s="33">
        <v>95.171999999999997</v>
      </c>
      <c r="F45" s="14">
        <v>0.5</v>
      </c>
      <c r="G45" s="16">
        <v>1278.7976000000001</v>
      </c>
      <c r="H45" s="16">
        <v>199.55</v>
      </c>
      <c r="I45" s="7">
        <f t="shared" ref="I45" si="10">ROUND(E45*F45*(G45-H45),2)</f>
        <v>51357.08</v>
      </c>
      <c r="J45" s="17"/>
      <c r="K45" s="18"/>
      <c r="N45" s="11"/>
      <c r="O45" s="11"/>
    </row>
    <row r="46" spans="2:15" ht="20.149999999999999" customHeight="1">
      <c r="B46" s="6">
        <v>44075</v>
      </c>
      <c r="C46" s="6">
        <v>44105</v>
      </c>
      <c r="D46" s="32" t="s">
        <v>1</v>
      </c>
      <c r="E46" s="33">
        <v>97.361750000000001</v>
      </c>
      <c r="F46" s="14">
        <v>0.5</v>
      </c>
      <c r="G46" s="16">
        <v>1278.7976000000001</v>
      </c>
      <c r="H46" s="16">
        <v>199.55</v>
      </c>
      <c r="I46" s="7">
        <f t="shared" ref="I46" si="11">ROUND(E46*F46*(G46-H46),2)</f>
        <v>52538.720000000001</v>
      </c>
      <c r="J46" s="17"/>
      <c r="K46" s="18"/>
      <c r="N46" s="11"/>
      <c r="O46" s="11"/>
    </row>
    <row r="47" spans="2:15" ht="20.149999999999999" customHeight="1">
      <c r="B47" s="6">
        <v>44105</v>
      </c>
      <c r="C47" s="6">
        <v>44136</v>
      </c>
      <c r="D47" s="32" t="s">
        <v>1</v>
      </c>
      <c r="E47" s="33">
        <v>98.402000000000001</v>
      </c>
      <c r="F47" s="14">
        <v>0.5</v>
      </c>
      <c r="G47" s="16">
        <v>1278.7976000000001</v>
      </c>
      <c r="H47" s="16">
        <v>199.55</v>
      </c>
      <c r="I47" s="7">
        <f t="shared" ref="I47" si="12">ROUND(E47*F47*(G47-H47),2)</f>
        <v>53100.06</v>
      </c>
      <c r="J47" s="17"/>
      <c r="K47" s="18"/>
      <c r="N47" s="11"/>
      <c r="O47" s="11"/>
    </row>
    <row r="48" spans="2:15" ht="20.149999999999999" customHeight="1">
      <c r="B48" s="6">
        <v>44136</v>
      </c>
      <c r="C48" s="6">
        <v>44166</v>
      </c>
      <c r="D48" s="32" t="s">
        <v>1</v>
      </c>
      <c r="E48" s="33">
        <v>88.86</v>
      </c>
      <c r="F48" s="14">
        <v>0.5</v>
      </c>
      <c r="G48" s="16">
        <v>1278.7976000000001</v>
      </c>
      <c r="H48" s="16">
        <v>199.55</v>
      </c>
      <c r="I48" s="7">
        <f t="shared" ref="I48" si="13">ROUND(E48*F48*(G48-H48),2)</f>
        <v>47950.97</v>
      </c>
      <c r="J48" s="17"/>
      <c r="K48" s="18"/>
      <c r="N48" s="11"/>
      <c r="O48" s="11"/>
    </row>
    <row r="49" spans="2:15" ht="20.149999999999999" customHeight="1">
      <c r="B49" s="6">
        <v>44166</v>
      </c>
      <c r="C49" s="6">
        <v>44197</v>
      </c>
      <c r="D49" s="32" t="s">
        <v>1</v>
      </c>
      <c r="E49" s="33">
        <v>89.472999999999999</v>
      </c>
      <c r="F49" s="14">
        <v>0.5</v>
      </c>
      <c r="G49" s="16">
        <v>1278.7976000000001</v>
      </c>
      <c r="H49" s="16">
        <v>199.55</v>
      </c>
      <c r="I49" s="7">
        <f t="shared" ref="I49" si="14">ROUND(E49*F49*(G49-H49),2)</f>
        <v>48281.760000000002</v>
      </c>
      <c r="J49" s="17"/>
      <c r="K49" s="18"/>
      <c r="N49" s="11"/>
      <c r="O49" s="11"/>
    </row>
    <row r="50" spans="2:15" ht="20.149999999999999" customHeight="1">
      <c r="B50" s="6">
        <v>44197</v>
      </c>
      <c r="C50" s="6">
        <v>44228</v>
      </c>
      <c r="D50" s="32" t="s">
        <v>1</v>
      </c>
      <c r="E50" s="33">
        <v>87.153000000000006</v>
      </c>
      <c r="F50" s="14">
        <v>0.5</v>
      </c>
      <c r="G50" s="16">
        <v>1278.7976000000001</v>
      </c>
      <c r="H50" s="16">
        <v>199.55</v>
      </c>
      <c r="I50" s="7">
        <f t="shared" ref="I50" si="15">ROUND(E50*F50*(G50-H50),2)</f>
        <v>47029.83</v>
      </c>
      <c r="J50" s="17"/>
      <c r="K50" s="18"/>
      <c r="N50" s="11"/>
      <c r="O50" s="11"/>
    </row>
    <row r="51" spans="2:15" ht="20.149999999999999" customHeight="1">
      <c r="B51" s="6">
        <v>44228</v>
      </c>
      <c r="C51" s="6">
        <v>44256</v>
      </c>
      <c r="D51" s="32" t="s">
        <v>1</v>
      </c>
      <c r="E51" s="33">
        <v>79.665999999999997</v>
      </c>
      <c r="F51" s="14">
        <v>0.5</v>
      </c>
      <c r="G51" s="16">
        <v>1278.7976000000001</v>
      </c>
      <c r="H51" s="16">
        <v>199.55</v>
      </c>
      <c r="I51" s="7">
        <f t="shared" ref="I51" si="16">ROUND(E51*F51*(G51-H51),2)</f>
        <v>42989.67</v>
      </c>
      <c r="J51" s="17"/>
      <c r="K51" s="18"/>
      <c r="N51" s="11"/>
      <c r="O51" s="11"/>
    </row>
    <row r="52" spans="2:15" ht="20.149999999999999" customHeight="1">
      <c r="B52" s="6">
        <v>44256</v>
      </c>
      <c r="C52" s="6">
        <v>44287</v>
      </c>
      <c r="D52" s="32" t="s">
        <v>1</v>
      </c>
      <c r="E52" s="33">
        <v>83.385000000000005</v>
      </c>
      <c r="F52" s="14">
        <v>0.5</v>
      </c>
      <c r="G52" s="16">
        <f>ROUND(1278.7976,2)</f>
        <v>1278.8</v>
      </c>
      <c r="H52" s="16">
        <v>199.55</v>
      </c>
      <c r="I52" s="7">
        <f t="shared" ref="I52" si="17">ROUND(E52*F52*(G52-H52),2)</f>
        <v>44996.63</v>
      </c>
      <c r="J52" s="17"/>
      <c r="K52" s="18"/>
      <c r="N52" s="11"/>
      <c r="O52" s="11"/>
    </row>
    <row r="53" spans="2:15" ht="20.149999999999999" customHeight="1">
      <c r="B53" s="6">
        <v>44287</v>
      </c>
      <c r="C53" s="6">
        <v>44317</v>
      </c>
      <c r="D53" s="32" t="s">
        <v>1</v>
      </c>
      <c r="E53" s="33">
        <v>82.748000000000005</v>
      </c>
      <c r="F53" s="14">
        <v>0.5</v>
      </c>
      <c r="G53" s="16">
        <f>ROUND(1278.7976,2)</f>
        <v>1278.8</v>
      </c>
      <c r="H53" s="16">
        <v>199.55</v>
      </c>
      <c r="I53" s="7">
        <f t="shared" ref="I53:I54" si="18">ROUND(E53*F53*(G53-H53),2)</f>
        <v>44652.89</v>
      </c>
      <c r="J53" s="17"/>
      <c r="K53" s="18"/>
      <c r="N53" s="11"/>
      <c r="O53" s="11"/>
    </row>
    <row r="54" spans="2:15" ht="20.149999999999999" customHeight="1">
      <c r="B54" s="6">
        <v>44317</v>
      </c>
      <c r="C54" s="6">
        <v>44348</v>
      </c>
      <c r="D54" s="32" t="s">
        <v>1</v>
      </c>
      <c r="E54" s="33">
        <v>88.043000000000006</v>
      </c>
      <c r="F54" s="14">
        <v>0.5</v>
      </c>
      <c r="G54" s="16">
        <v>1278.8</v>
      </c>
      <c r="H54" s="16">
        <v>199.55</v>
      </c>
      <c r="I54" s="7">
        <f t="shared" si="18"/>
        <v>47510.2</v>
      </c>
      <c r="J54" s="17"/>
      <c r="K54" s="18"/>
      <c r="N54" s="11"/>
      <c r="O54" s="11"/>
    </row>
    <row r="55" spans="2:15" ht="20.149999999999999" customHeight="1">
      <c r="B55" s="6">
        <v>44348</v>
      </c>
      <c r="C55" s="6">
        <v>44378</v>
      </c>
      <c r="D55" s="32" t="s">
        <v>1</v>
      </c>
      <c r="E55" s="33">
        <v>85.272999999999996</v>
      </c>
      <c r="F55" s="14">
        <v>0.5</v>
      </c>
      <c r="G55" s="16">
        <v>1278.8</v>
      </c>
      <c r="H55" s="16">
        <v>199.55</v>
      </c>
      <c r="I55" s="7">
        <f t="shared" ref="I55" si="19">ROUND(E55*F55*(G55-H55),2)</f>
        <v>46015.44</v>
      </c>
      <c r="J55" s="17"/>
      <c r="K55" s="18"/>
      <c r="N55" s="11"/>
      <c r="O55" s="11"/>
    </row>
    <row r="56" spans="2:15" ht="20.149999999999999" customHeight="1">
      <c r="B56" s="6">
        <v>44378</v>
      </c>
      <c r="C56" s="6">
        <v>44409</v>
      </c>
      <c r="D56" s="32" t="s">
        <v>1</v>
      </c>
      <c r="E56" s="33">
        <v>82.734999999999999</v>
      </c>
      <c r="F56" s="14">
        <v>0.5</v>
      </c>
      <c r="G56" s="16">
        <v>1278.8</v>
      </c>
      <c r="H56" s="16">
        <v>199.55</v>
      </c>
      <c r="I56" s="7">
        <f t="shared" ref="I56" si="20">ROUND(E56*F56*(G56-H56),2)</f>
        <v>44645.87</v>
      </c>
      <c r="J56" s="17"/>
      <c r="K56" s="18"/>
      <c r="N56" s="11"/>
      <c r="O56" s="11"/>
    </row>
    <row r="57" spans="2:15" ht="20.149999999999999" customHeight="1">
      <c r="B57" s="61">
        <v>44409</v>
      </c>
      <c r="C57" s="61">
        <v>44440</v>
      </c>
      <c r="D57" s="67" t="s">
        <v>1</v>
      </c>
      <c r="E57" s="68">
        <v>94.42</v>
      </c>
      <c r="F57" s="62">
        <v>0.5</v>
      </c>
      <c r="G57" s="64">
        <v>1278.8</v>
      </c>
      <c r="H57" s="64">
        <v>199.55</v>
      </c>
      <c r="I57" s="65">
        <f t="shared" ref="I57" si="21">ROUND(E57*F57*(G57-H57),2)</f>
        <v>50951.39</v>
      </c>
      <c r="J57" s="17"/>
      <c r="K57" s="18"/>
      <c r="N57" s="11"/>
      <c r="O57" s="11"/>
    </row>
    <row r="58" spans="2:15" ht="20.149999999999999" customHeight="1">
      <c r="B58" s="61">
        <v>44440</v>
      </c>
      <c r="C58" s="61">
        <v>44470</v>
      </c>
      <c r="D58" s="67" t="s">
        <v>1</v>
      </c>
      <c r="E58" s="68">
        <v>94.433999999999997</v>
      </c>
      <c r="F58" s="62">
        <v>0.5</v>
      </c>
      <c r="G58" s="64">
        <v>1278.8</v>
      </c>
      <c r="H58" s="64">
        <v>199.55</v>
      </c>
      <c r="I58" s="65">
        <f t="shared" ref="I58" si="22">ROUND(E58*F58*(G58-H58),2)</f>
        <v>50958.95</v>
      </c>
      <c r="J58" s="17"/>
      <c r="K58" s="18"/>
      <c r="N58" s="11"/>
      <c r="O58" s="11"/>
    </row>
    <row r="59" spans="2:15" ht="20.149999999999999" customHeight="1">
      <c r="B59" s="61">
        <v>44470</v>
      </c>
      <c r="C59" s="61">
        <v>44501</v>
      </c>
      <c r="D59" s="67" t="s">
        <v>1</v>
      </c>
      <c r="E59" s="68">
        <v>95.683000000000007</v>
      </c>
      <c r="F59" s="62">
        <v>0.5</v>
      </c>
      <c r="G59" s="64">
        <v>1278.8</v>
      </c>
      <c r="H59" s="64">
        <v>199.55</v>
      </c>
      <c r="I59" s="65">
        <f t="shared" ref="I59" si="23">ROUND(E59*F59*(G59-H59),2)</f>
        <v>51632.94</v>
      </c>
      <c r="J59" s="17"/>
      <c r="K59" s="18"/>
      <c r="N59" s="11"/>
      <c r="O59" s="11"/>
    </row>
    <row r="60" spans="2:15" ht="20.149999999999999" customHeight="1">
      <c r="B60" s="61">
        <v>44501</v>
      </c>
      <c r="C60" s="61">
        <v>44531</v>
      </c>
      <c r="D60" s="67" t="s">
        <v>1</v>
      </c>
      <c r="E60" s="68">
        <v>89.911000000000001</v>
      </c>
      <c r="F60" s="62">
        <v>0.5</v>
      </c>
      <c r="G60" s="64">
        <v>1278.8</v>
      </c>
      <c r="H60" s="64">
        <v>199.55</v>
      </c>
      <c r="I60" s="65">
        <f t="shared" ref="I60" si="24">ROUND(E60*F60*(G60-H60),2)</f>
        <v>48518.22</v>
      </c>
      <c r="J60" s="17"/>
      <c r="K60" s="18"/>
      <c r="N60" s="11"/>
      <c r="O60" s="11"/>
    </row>
    <row r="61" spans="2:15" ht="20.149999999999999" customHeight="1">
      <c r="B61" s="61">
        <v>44531</v>
      </c>
      <c r="C61" s="61">
        <v>44562</v>
      </c>
      <c r="D61" s="67" t="s">
        <v>1</v>
      </c>
      <c r="E61" s="68">
        <v>89.561999999999998</v>
      </c>
      <c r="F61" s="62">
        <v>0.5</v>
      </c>
      <c r="G61" s="64">
        <v>1278.8</v>
      </c>
      <c r="H61" s="64">
        <v>199.55</v>
      </c>
      <c r="I61" s="65">
        <f t="shared" ref="I61" si="25">ROUND(E61*F61*(G61-H61),2)</f>
        <v>48329.89</v>
      </c>
      <c r="J61" s="17"/>
      <c r="K61" s="18"/>
      <c r="N61" s="11"/>
      <c r="O61" s="11"/>
    </row>
    <row r="62" spans="2:15" ht="20.149999999999999" customHeight="1">
      <c r="B62" s="61">
        <v>44562</v>
      </c>
      <c r="C62" s="61">
        <v>44593</v>
      </c>
      <c r="D62" s="67" t="s">
        <v>1</v>
      </c>
      <c r="E62" s="68">
        <v>86.885999999999996</v>
      </c>
      <c r="F62" s="62">
        <v>0.5</v>
      </c>
      <c r="G62" s="64">
        <v>1278.8</v>
      </c>
      <c r="H62" s="64">
        <v>199.55</v>
      </c>
      <c r="I62" s="65">
        <f t="shared" ref="I62:I75" si="26">ROUND(E62*F62*(G62-H62),2)</f>
        <v>46885.86</v>
      </c>
      <c r="J62" s="17"/>
      <c r="K62" s="18"/>
      <c r="N62" s="11"/>
      <c r="O62" s="11"/>
    </row>
    <row r="63" spans="2:15" ht="20.149999999999999" customHeight="1">
      <c r="B63" s="61">
        <v>44593</v>
      </c>
      <c r="C63" s="61">
        <v>44621</v>
      </c>
      <c r="D63" s="67" t="s">
        <v>1</v>
      </c>
      <c r="E63" s="68">
        <v>78.066000000000003</v>
      </c>
      <c r="F63" s="62">
        <v>0.5</v>
      </c>
      <c r="G63" s="64">
        <v>1278.8</v>
      </c>
      <c r="H63" s="64">
        <v>199.55</v>
      </c>
      <c r="I63" s="65">
        <f t="shared" si="26"/>
        <v>42126.37</v>
      </c>
      <c r="J63" s="17"/>
      <c r="K63" s="18"/>
      <c r="N63" s="11"/>
      <c r="O63" s="11"/>
    </row>
    <row r="64" spans="2:15" ht="20.149999999999999" customHeight="1">
      <c r="B64" s="61">
        <v>44621</v>
      </c>
      <c r="C64" s="61">
        <v>44652</v>
      </c>
      <c r="D64" s="67" t="s">
        <v>1</v>
      </c>
      <c r="E64" s="68">
        <v>90.296999999999997</v>
      </c>
      <c r="F64" s="62">
        <v>0.5</v>
      </c>
      <c r="G64" s="64">
        <v>1278.8</v>
      </c>
      <c r="H64" s="64">
        <v>199.55</v>
      </c>
      <c r="I64" s="65">
        <f t="shared" si="26"/>
        <v>48726.52</v>
      </c>
      <c r="J64" s="17"/>
      <c r="K64" s="18"/>
      <c r="N64" s="11"/>
      <c r="O64" s="11"/>
    </row>
    <row r="65" spans="2:15" ht="20.149999999999999" customHeight="1">
      <c r="B65" s="61">
        <v>44652</v>
      </c>
      <c r="C65" s="61">
        <v>44682</v>
      </c>
      <c r="D65" s="67" t="s">
        <v>1</v>
      </c>
      <c r="E65" s="68">
        <v>86.308999999999997</v>
      </c>
      <c r="F65" s="62">
        <v>0.5</v>
      </c>
      <c r="G65" s="64">
        <v>1278.8</v>
      </c>
      <c r="H65" s="64">
        <v>199.55</v>
      </c>
      <c r="I65" s="65">
        <f t="shared" si="26"/>
        <v>46574.49</v>
      </c>
      <c r="J65" s="17"/>
      <c r="K65" s="18"/>
      <c r="N65" s="11"/>
      <c r="O65" s="11"/>
    </row>
    <row r="66" spans="2:15" ht="20.149999999999999" customHeight="1">
      <c r="B66" s="61">
        <v>44682</v>
      </c>
      <c r="C66" s="61">
        <v>44713</v>
      </c>
      <c r="D66" s="67" t="s">
        <v>1</v>
      </c>
      <c r="E66" s="68">
        <v>90.444000000000003</v>
      </c>
      <c r="F66" s="62">
        <v>0.5</v>
      </c>
      <c r="G66" s="64">
        <v>1278.8</v>
      </c>
      <c r="H66" s="64">
        <v>199.55</v>
      </c>
      <c r="I66" s="65">
        <f t="shared" si="26"/>
        <v>48805.84</v>
      </c>
      <c r="J66" s="17"/>
      <c r="K66" s="18"/>
      <c r="N66" s="11"/>
      <c r="O66" s="11"/>
    </row>
    <row r="67" spans="2:15" ht="20.149999999999999" customHeight="1">
      <c r="B67" s="61">
        <v>44713</v>
      </c>
      <c r="C67" s="61">
        <v>44743</v>
      </c>
      <c r="D67" s="67" t="s">
        <v>1</v>
      </c>
      <c r="E67" s="68">
        <v>86.221999999999994</v>
      </c>
      <c r="F67" s="62">
        <v>0.5</v>
      </c>
      <c r="G67" s="64">
        <v>1278.8</v>
      </c>
      <c r="H67" s="64">
        <v>199.55</v>
      </c>
      <c r="I67" s="65">
        <f t="shared" si="26"/>
        <v>46527.55</v>
      </c>
      <c r="J67" s="17"/>
      <c r="K67" s="18"/>
      <c r="N67" s="11"/>
      <c r="O67" s="11"/>
    </row>
    <row r="68" spans="2:15" ht="20.149999999999999" customHeight="1">
      <c r="B68" s="61">
        <v>44743</v>
      </c>
      <c r="C68" s="61">
        <v>44774</v>
      </c>
      <c r="D68" s="67" t="s">
        <v>1</v>
      </c>
      <c r="E68" s="68">
        <v>88.745999999999995</v>
      </c>
      <c r="F68" s="62">
        <v>0.5</v>
      </c>
      <c r="G68" s="64">
        <v>1278.8</v>
      </c>
      <c r="H68" s="64">
        <v>199.55</v>
      </c>
      <c r="I68" s="65">
        <f t="shared" si="26"/>
        <v>47889.56</v>
      </c>
      <c r="J68" s="17"/>
      <c r="K68" s="18"/>
      <c r="N68" s="11"/>
      <c r="O68" s="11"/>
    </row>
    <row r="69" spans="2:15" ht="20.149999999999999" customHeight="1">
      <c r="B69" s="6">
        <v>44774</v>
      </c>
      <c r="C69" s="6">
        <v>44805</v>
      </c>
      <c r="D69" s="32" t="s">
        <v>1</v>
      </c>
      <c r="E69" s="33">
        <v>97.384</v>
      </c>
      <c r="F69" s="14">
        <v>0.5</v>
      </c>
      <c r="G69" s="16">
        <v>1278.8</v>
      </c>
      <c r="H69" s="16">
        <v>266.18</v>
      </c>
      <c r="I69" s="8">
        <f t="shared" si="26"/>
        <v>49306.49</v>
      </c>
      <c r="J69" s="17"/>
      <c r="K69" s="18"/>
      <c r="N69" s="11"/>
      <c r="O69" s="11"/>
    </row>
    <row r="70" spans="2:15" ht="20.149999999999999" customHeight="1">
      <c r="B70" s="6">
        <v>44805</v>
      </c>
      <c r="C70" s="6">
        <v>44835</v>
      </c>
      <c r="D70" s="32" t="s">
        <v>1</v>
      </c>
      <c r="E70" s="33">
        <v>97.436999999999998</v>
      </c>
      <c r="F70" s="14">
        <v>0.5</v>
      </c>
      <c r="G70" s="16">
        <v>1278.8</v>
      </c>
      <c r="H70" s="16">
        <v>266.18</v>
      </c>
      <c r="I70" s="8">
        <f t="shared" si="26"/>
        <v>49333.33</v>
      </c>
      <c r="J70" s="17"/>
      <c r="K70" s="18"/>
      <c r="N70" s="11"/>
      <c r="O70" s="11"/>
    </row>
    <row r="71" spans="2:15" ht="20.149999999999999" customHeight="1">
      <c r="B71" s="6">
        <v>44835</v>
      </c>
      <c r="C71" s="6">
        <v>44866</v>
      </c>
      <c r="D71" s="32" t="s">
        <v>1</v>
      </c>
      <c r="E71" s="33">
        <v>95.977999999999994</v>
      </c>
      <c r="F71" s="14">
        <v>0.5</v>
      </c>
      <c r="G71" s="16">
        <v>1278.8</v>
      </c>
      <c r="H71" s="16">
        <v>266.18</v>
      </c>
      <c r="I71" s="8">
        <f t="shared" si="26"/>
        <v>48594.62</v>
      </c>
      <c r="J71" s="17"/>
      <c r="K71" s="18"/>
      <c r="N71" s="11"/>
      <c r="O71" s="11"/>
    </row>
    <row r="72" spans="2:15" ht="20.149999999999999" customHeight="1">
      <c r="B72" s="6">
        <v>44866</v>
      </c>
      <c r="C72" s="6">
        <v>44896</v>
      </c>
      <c r="D72" s="32" t="s">
        <v>1</v>
      </c>
      <c r="E72" s="33">
        <v>89.134</v>
      </c>
      <c r="F72" s="14">
        <v>0.5</v>
      </c>
      <c r="G72" s="16">
        <v>1278.8</v>
      </c>
      <c r="H72" s="16">
        <v>266.18</v>
      </c>
      <c r="I72" s="8">
        <f t="shared" si="26"/>
        <v>45129.440000000002</v>
      </c>
      <c r="J72" s="17"/>
      <c r="K72" s="18"/>
      <c r="N72" s="11"/>
      <c r="O72" s="11"/>
    </row>
    <row r="73" spans="2:15" ht="20.149999999999999" customHeight="1">
      <c r="B73" s="6">
        <v>44896</v>
      </c>
      <c r="C73" s="6">
        <v>44927</v>
      </c>
      <c r="D73" s="32" t="s">
        <v>1</v>
      </c>
      <c r="E73" s="33">
        <v>89.215000000000003</v>
      </c>
      <c r="F73" s="14">
        <v>0.5</v>
      </c>
      <c r="G73" s="16">
        <v>1278.8</v>
      </c>
      <c r="H73" s="16">
        <v>266.18</v>
      </c>
      <c r="I73" s="8">
        <f t="shared" si="26"/>
        <v>45170.45</v>
      </c>
      <c r="J73" s="17"/>
      <c r="K73" s="18"/>
      <c r="N73" s="11"/>
      <c r="O73" s="11"/>
    </row>
    <row r="74" spans="2:15" ht="20.149999999999999" customHeight="1">
      <c r="B74" s="6">
        <v>44927</v>
      </c>
      <c r="C74" s="6">
        <v>44958</v>
      </c>
      <c r="D74" s="32" t="s">
        <v>1</v>
      </c>
      <c r="E74" s="33">
        <v>86.488</v>
      </c>
      <c r="F74" s="14">
        <v>0.5</v>
      </c>
      <c r="G74" s="16">
        <v>1278.8</v>
      </c>
      <c r="H74" s="16">
        <v>266.18</v>
      </c>
      <c r="I74" s="8">
        <f t="shared" si="26"/>
        <v>43789.74</v>
      </c>
      <c r="J74" s="17"/>
      <c r="K74" s="18"/>
      <c r="N74" s="11"/>
      <c r="O74" s="11"/>
    </row>
    <row r="75" spans="2:15" ht="20.149999999999999" customHeight="1">
      <c r="B75" s="6">
        <v>44958</v>
      </c>
      <c r="C75" s="6">
        <v>44986</v>
      </c>
      <c r="D75" s="32" t="s">
        <v>1</v>
      </c>
      <c r="E75" s="33">
        <v>80.965000000000003</v>
      </c>
      <c r="F75" s="14">
        <v>0.5</v>
      </c>
      <c r="G75" s="16">
        <v>1278.8</v>
      </c>
      <c r="H75" s="16">
        <v>266.18</v>
      </c>
      <c r="I75" s="8">
        <f t="shared" si="26"/>
        <v>40993.39</v>
      </c>
      <c r="J75" s="17"/>
      <c r="K75" s="18"/>
      <c r="N75" s="11"/>
      <c r="O75" s="11"/>
    </row>
    <row r="76" spans="2:15" ht="20.149999999999999" customHeight="1">
      <c r="B76" s="6">
        <v>44986</v>
      </c>
      <c r="C76" s="6">
        <v>45017</v>
      </c>
      <c r="D76" s="32" t="s">
        <v>1</v>
      </c>
      <c r="E76" s="33">
        <v>95.177999999999997</v>
      </c>
      <c r="F76" s="14">
        <v>0.5</v>
      </c>
      <c r="G76" s="16">
        <v>1278.8</v>
      </c>
      <c r="H76" s="16">
        <v>266.18</v>
      </c>
      <c r="I76" s="8">
        <f t="shared" ref="I76:I77" si="27">ROUND(E76*F76*(G76-H76),2)</f>
        <v>48189.57</v>
      </c>
      <c r="J76" s="17"/>
      <c r="K76" s="18"/>
      <c r="N76" s="11"/>
      <c r="O76" s="11"/>
    </row>
    <row r="77" spans="2:15" ht="20.149999999999999" customHeight="1">
      <c r="B77" s="6">
        <v>45017</v>
      </c>
      <c r="C77" s="6">
        <v>45047</v>
      </c>
      <c r="D77" s="32" t="s">
        <v>1</v>
      </c>
      <c r="E77" s="33">
        <v>95.231999999999999</v>
      </c>
      <c r="F77" s="14">
        <v>0.5</v>
      </c>
      <c r="G77" s="16">
        <v>1278.8</v>
      </c>
      <c r="H77" s="16">
        <v>266.18</v>
      </c>
      <c r="I77" s="8">
        <f t="shared" si="27"/>
        <v>48216.91</v>
      </c>
      <c r="J77" s="17"/>
      <c r="K77" s="18"/>
      <c r="N77" s="11"/>
      <c r="O77" s="11"/>
    </row>
    <row r="78" spans="2:15" ht="20.149999999999999" customHeight="1">
      <c r="B78" s="6">
        <v>45047</v>
      </c>
      <c r="C78" s="6">
        <v>45078</v>
      </c>
      <c r="D78" s="32" t="s">
        <v>1</v>
      </c>
      <c r="E78" s="33">
        <v>101.896</v>
      </c>
      <c r="F78" s="14">
        <v>0.5</v>
      </c>
      <c r="G78" s="16">
        <v>1278.8</v>
      </c>
      <c r="H78" s="16">
        <v>266.18</v>
      </c>
      <c r="I78" s="8">
        <f t="shared" ref="I78:I81" si="28">ROUND(E78*F78*(G78-H78),2)</f>
        <v>51590.96</v>
      </c>
      <c r="J78" s="17"/>
      <c r="K78" s="18"/>
      <c r="N78" s="11"/>
      <c r="O78" s="11"/>
    </row>
    <row r="79" spans="2:15" ht="20.149999999999999" customHeight="1">
      <c r="B79" s="6">
        <v>45078</v>
      </c>
      <c r="C79" s="6">
        <v>45108</v>
      </c>
      <c r="D79" s="32" t="s">
        <v>1</v>
      </c>
      <c r="E79" s="33">
        <v>91.081000000000003</v>
      </c>
      <c r="F79" s="14">
        <v>0.5</v>
      </c>
      <c r="G79" s="16">
        <v>1278.8</v>
      </c>
      <c r="H79" s="16">
        <v>266.18</v>
      </c>
      <c r="I79" s="8">
        <f t="shared" si="28"/>
        <v>46115.22</v>
      </c>
      <c r="J79" s="17"/>
      <c r="K79" s="18"/>
      <c r="N79" s="11"/>
      <c r="O79" s="11"/>
    </row>
    <row r="80" spans="2:15" ht="20.149999999999999" customHeight="1">
      <c r="B80" s="6">
        <v>45108</v>
      </c>
      <c r="C80" s="6">
        <v>45139</v>
      </c>
      <c r="D80" s="32" t="s">
        <v>1</v>
      </c>
      <c r="E80" s="33">
        <v>91.668999999999997</v>
      </c>
      <c r="F80" s="14">
        <v>0.5</v>
      </c>
      <c r="G80" s="16">
        <v>1278.8</v>
      </c>
      <c r="H80" s="16">
        <v>266.18</v>
      </c>
      <c r="I80" s="8">
        <f t="shared" si="28"/>
        <v>46412.93</v>
      </c>
      <c r="J80" s="17"/>
      <c r="K80" s="18"/>
      <c r="N80" s="11"/>
      <c r="O80" s="11"/>
    </row>
    <row r="81" spans="2:15" ht="20.149999999999999" customHeight="1">
      <c r="B81" s="6">
        <v>45139</v>
      </c>
      <c r="C81" s="6">
        <v>45170</v>
      </c>
      <c r="D81" s="32" t="s">
        <v>1</v>
      </c>
      <c r="E81" s="33">
        <v>102.65</v>
      </c>
      <c r="F81" s="14">
        <v>0.5</v>
      </c>
      <c r="G81" s="16">
        <v>1278.8</v>
      </c>
      <c r="H81" s="16">
        <v>266.18</v>
      </c>
      <c r="I81" s="8">
        <f t="shared" si="28"/>
        <v>51972.72</v>
      </c>
      <c r="J81" s="17"/>
      <c r="K81" s="18"/>
      <c r="N81" s="11"/>
      <c r="O81" s="11"/>
    </row>
    <row r="82" spans="2:15" ht="20.149999999999999" customHeight="1">
      <c r="B82" s="6">
        <v>45170</v>
      </c>
      <c r="C82" s="6">
        <v>45200</v>
      </c>
      <c r="D82" s="32" t="s">
        <v>1</v>
      </c>
      <c r="E82" s="33">
        <v>92.704999999999998</v>
      </c>
      <c r="F82" s="14">
        <v>0.5</v>
      </c>
      <c r="G82" s="16">
        <v>1278.8</v>
      </c>
      <c r="H82" s="16">
        <v>266.18</v>
      </c>
      <c r="I82" s="8">
        <f t="shared" ref="I82:I84" si="29">ROUND(E82*F82*(G82-H82),2)</f>
        <v>46937.47</v>
      </c>
      <c r="J82" s="17"/>
      <c r="K82" s="18"/>
      <c r="N82" s="11"/>
      <c r="O82" s="11"/>
    </row>
    <row r="83" spans="2:15" ht="20.149999999999999" customHeight="1">
      <c r="B83" s="6">
        <v>45200</v>
      </c>
      <c r="C83" s="6">
        <v>45231</v>
      </c>
      <c r="D83" s="32" t="s">
        <v>1</v>
      </c>
      <c r="E83" s="33">
        <v>100.25700000000001</v>
      </c>
      <c r="F83" s="14">
        <v>0.5</v>
      </c>
      <c r="G83" s="16">
        <v>1278.8</v>
      </c>
      <c r="H83" s="16">
        <v>266.18</v>
      </c>
      <c r="I83" s="8">
        <f t="shared" si="29"/>
        <v>50761.120000000003</v>
      </c>
      <c r="J83" s="17"/>
      <c r="K83" s="18"/>
      <c r="N83" s="11"/>
      <c r="O83" s="11"/>
    </row>
    <row r="84" spans="2:15" ht="20" customHeight="1">
      <c r="B84" s="6">
        <v>45231</v>
      </c>
      <c r="C84" s="6">
        <v>45261</v>
      </c>
      <c r="D84" s="32" t="s">
        <v>1</v>
      </c>
      <c r="E84" s="33">
        <v>95.932000000000002</v>
      </c>
      <c r="F84" s="14">
        <v>0.5</v>
      </c>
      <c r="G84" s="16">
        <v>1278.8</v>
      </c>
      <c r="H84" s="16">
        <v>266.18</v>
      </c>
      <c r="I84" s="8">
        <f t="shared" si="29"/>
        <v>48571.33</v>
      </c>
      <c r="J84" s="17"/>
      <c r="K84" s="18"/>
      <c r="N84" s="11"/>
      <c r="O84" s="11"/>
    </row>
    <row r="85" spans="2:15" ht="20" customHeight="1">
      <c r="B85" s="6">
        <v>45261</v>
      </c>
      <c r="C85" s="6">
        <v>45292</v>
      </c>
      <c r="D85" s="32" t="s">
        <v>1</v>
      </c>
      <c r="E85" s="33">
        <v>93.950999999999993</v>
      </c>
      <c r="F85" s="14">
        <v>0.5</v>
      </c>
      <c r="G85" s="16">
        <v>1278.8</v>
      </c>
      <c r="H85" s="16">
        <v>266.18</v>
      </c>
      <c r="I85" s="8">
        <f t="shared" ref="I85" si="30">ROUND(E85*F85*(G85-H85),2)</f>
        <v>47568.33</v>
      </c>
      <c r="J85" s="17"/>
      <c r="K85" s="18"/>
      <c r="N85" s="11"/>
      <c r="O85" s="11"/>
    </row>
    <row r="86" spans="2:15" ht="20" customHeight="1">
      <c r="B86" s="6">
        <v>45292</v>
      </c>
      <c r="C86" s="6">
        <v>45323</v>
      </c>
      <c r="D86" s="32" t="s">
        <v>1</v>
      </c>
      <c r="E86" s="33">
        <v>84.643000000000001</v>
      </c>
      <c r="F86" s="14">
        <v>0.5</v>
      </c>
      <c r="G86" s="16">
        <v>1278.8</v>
      </c>
      <c r="H86" s="16">
        <v>266.18</v>
      </c>
      <c r="I86" s="8">
        <v>42855.597329999997</v>
      </c>
      <c r="J86" s="17"/>
      <c r="K86" s="18"/>
      <c r="N86" s="11"/>
      <c r="O86" s="11"/>
    </row>
    <row r="87" spans="2:15" ht="20" customHeight="1">
      <c r="B87" s="6">
        <v>45323</v>
      </c>
      <c r="C87" s="6">
        <v>45352</v>
      </c>
      <c r="D87" s="32" t="s">
        <v>1</v>
      </c>
      <c r="E87" s="33">
        <v>82.093000000000004</v>
      </c>
      <c r="F87" s="14">
        <v>0.5</v>
      </c>
      <c r="G87" s="16">
        <f t="shared" ref="G87:G89" si="31">ROUND(1278.7976,2)</f>
        <v>1278.8</v>
      </c>
      <c r="H87" s="16">
        <v>266.18</v>
      </c>
      <c r="I87" s="8">
        <f>E87*F87*(G87-H87)</f>
        <v>41564.506829999998</v>
      </c>
      <c r="J87" s="17"/>
      <c r="K87" s="18"/>
      <c r="N87" s="11"/>
      <c r="O87" s="11"/>
    </row>
    <row r="88" spans="2:15" ht="20" customHeight="1">
      <c r="B88" s="6">
        <v>45352</v>
      </c>
      <c r="C88" s="6">
        <v>45383</v>
      </c>
      <c r="D88" s="32" t="s">
        <v>1</v>
      </c>
      <c r="E88" s="89">
        <v>100.25700000000001</v>
      </c>
      <c r="F88" s="14">
        <v>0.5</v>
      </c>
      <c r="G88" s="16">
        <f t="shared" si="31"/>
        <v>1278.8</v>
      </c>
      <c r="H88" s="16">
        <v>266.18</v>
      </c>
      <c r="I88" s="8">
        <f>E88*F88*(G88-H88)</f>
        <v>50761.12167</v>
      </c>
      <c r="J88" s="17"/>
      <c r="K88" s="18"/>
      <c r="N88" s="11"/>
      <c r="O88" s="11"/>
    </row>
    <row r="89" spans="2:15" ht="20" customHeight="1">
      <c r="B89" s="6">
        <v>45383</v>
      </c>
      <c r="C89" s="6">
        <v>45413</v>
      </c>
      <c r="D89" s="32" t="s">
        <v>1</v>
      </c>
      <c r="E89" s="89">
        <v>87.712999999999994</v>
      </c>
      <c r="F89" s="14">
        <v>0.5</v>
      </c>
      <c r="G89" s="16">
        <f t="shared" si="31"/>
        <v>1278.8</v>
      </c>
      <c r="H89" s="16">
        <v>266.18</v>
      </c>
      <c r="I89" s="8">
        <f>E89*F89*(G89-H89)</f>
        <v>44409.969029999993</v>
      </c>
      <c r="J89" s="17"/>
      <c r="K89" s="18"/>
      <c r="N89" s="11"/>
      <c r="O89" s="11"/>
    </row>
    <row r="90" spans="2:15" ht="20" customHeight="1">
      <c r="B90" s="6">
        <v>45413</v>
      </c>
      <c r="C90" s="6">
        <v>45444</v>
      </c>
      <c r="D90" s="32" t="s">
        <v>1</v>
      </c>
      <c r="E90" s="14">
        <v>85.289000000000001</v>
      </c>
      <c r="F90" s="14">
        <v>0.5</v>
      </c>
      <c r="G90" s="16">
        <f t="shared" ref="G90" si="32">ROUND(1278.7976,2)</f>
        <v>1278.8</v>
      </c>
      <c r="H90" s="16">
        <v>266.18</v>
      </c>
      <c r="I90" s="8">
        <f t="shared" ref="I90:I92" si="33">E90*F90*(G90-H90)</f>
        <v>43182.673589999999</v>
      </c>
      <c r="J90" s="18"/>
      <c r="N90" s="11"/>
      <c r="O90" s="11"/>
    </row>
    <row r="91" spans="2:15" ht="20" customHeight="1">
      <c r="B91" s="6">
        <v>45444</v>
      </c>
      <c r="C91" s="6">
        <v>45474</v>
      </c>
      <c r="D91" s="32" t="s">
        <v>1</v>
      </c>
      <c r="E91" s="14">
        <v>79.203000000000003</v>
      </c>
      <c r="F91" s="14">
        <v>0.5</v>
      </c>
      <c r="G91" s="16">
        <v>1278.8</v>
      </c>
      <c r="H91" s="16">
        <v>266.18</v>
      </c>
      <c r="I91" s="8">
        <f t="shared" si="33"/>
        <v>40101.270929999999</v>
      </c>
      <c r="J91" s="18"/>
      <c r="N91" s="11"/>
      <c r="O91" s="11"/>
    </row>
    <row r="92" spans="2:15" ht="20" customHeight="1">
      <c r="B92" s="6">
        <v>45474</v>
      </c>
      <c r="C92" s="6">
        <v>45505</v>
      </c>
      <c r="D92" s="32" t="s">
        <v>1</v>
      </c>
      <c r="E92" s="93">
        <v>79.929000000000002</v>
      </c>
      <c r="F92" s="14">
        <v>0.5</v>
      </c>
      <c r="G92" s="16">
        <v>1278.8</v>
      </c>
      <c r="H92" s="16">
        <v>266.18</v>
      </c>
      <c r="I92" s="8">
        <f t="shared" si="33"/>
        <v>40468.851989999996</v>
      </c>
      <c r="J92" s="18"/>
      <c r="N92" s="11"/>
      <c r="O92" s="11"/>
    </row>
    <row r="93" spans="2:15" ht="20" customHeight="1">
      <c r="B93" s="6">
        <v>45505</v>
      </c>
      <c r="C93" s="6">
        <v>45536</v>
      </c>
      <c r="D93" s="32" t="s">
        <v>76</v>
      </c>
      <c r="E93" s="93">
        <v>89.248000000000005</v>
      </c>
      <c r="F93" s="14">
        <v>0.5</v>
      </c>
      <c r="G93" s="16">
        <f t="shared" ref="G93" si="34">ROUND(1278.7976,2)</f>
        <v>1278.8</v>
      </c>
      <c r="H93" s="16">
        <v>266.18</v>
      </c>
      <c r="I93" s="8">
        <f t="shared" ref="I93" si="35">E93*F93*(G93-H93)</f>
        <v>45187.154879999995</v>
      </c>
      <c r="J93" s="18"/>
      <c r="N93" s="11"/>
      <c r="O93" s="11"/>
    </row>
    <row r="94" spans="2:15" ht="20" customHeight="1">
      <c r="B94" s="6">
        <v>45536</v>
      </c>
      <c r="C94" s="6">
        <v>45566</v>
      </c>
      <c r="D94" s="32" t="s">
        <v>76</v>
      </c>
      <c r="E94" s="93">
        <v>101.167</v>
      </c>
      <c r="F94" s="14">
        <v>0.5</v>
      </c>
      <c r="G94" s="16">
        <v>1278.8</v>
      </c>
      <c r="H94" s="16">
        <v>266.18</v>
      </c>
      <c r="I94" s="8">
        <f t="shared" ref="I94:I97" si="36">E94*F94*(G94-H94)</f>
        <v>51221.863769999996</v>
      </c>
      <c r="J94" s="18"/>
      <c r="N94" s="11"/>
      <c r="O94" s="11"/>
    </row>
    <row r="95" spans="2:15" ht="20" customHeight="1">
      <c r="B95" s="6">
        <v>45566</v>
      </c>
      <c r="C95" s="6">
        <v>45597</v>
      </c>
      <c r="D95" s="32" t="s">
        <v>76</v>
      </c>
      <c r="E95" s="93">
        <v>96.17</v>
      </c>
      <c r="F95" s="14">
        <v>0.5</v>
      </c>
      <c r="G95" s="16">
        <v>1278.8</v>
      </c>
      <c r="H95" s="16">
        <v>266.18</v>
      </c>
      <c r="I95" s="8">
        <f t="shared" si="36"/>
        <v>48691.832699999999</v>
      </c>
      <c r="J95" s="18"/>
      <c r="N95" s="11"/>
      <c r="O95" s="11"/>
    </row>
    <row r="96" spans="2:15" ht="20" customHeight="1">
      <c r="B96" s="6">
        <v>45597</v>
      </c>
      <c r="C96" s="6">
        <v>45656</v>
      </c>
      <c r="D96" s="32" t="s">
        <v>76</v>
      </c>
      <c r="E96" s="93">
        <v>91.516999999999996</v>
      </c>
      <c r="F96" s="14">
        <v>0.5</v>
      </c>
      <c r="G96" s="16">
        <v>1278.8</v>
      </c>
      <c r="H96" s="16">
        <v>266.18</v>
      </c>
      <c r="I96" s="8">
        <f t="shared" si="36"/>
        <v>46335.972269999991</v>
      </c>
      <c r="J96" s="18"/>
      <c r="N96" s="11"/>
      <c r="O96" s="11"/>
    </row>
    <row r="97" spans="2:16" ht="20" customHeight="1">
      <c r="B97" s="6">
        <v>45627</v>
      </c>
      <c r="C97" s="6">
        <v>45658</v>
      </c>
      <c r="D97" s="32" t="s">
        <v>76</v>
      </c>
      <c r="E97" s="93">
        <v>91.971999999999994</v>
      </c>
      <c r="F97" s="14">
        <v>0.5</v>
      </c>
      <c r="G97" s="16">
        <v>1278.8</v>
      </c>
      <c r="H97" s="16">
        <v>266.18</v>
      </c>
      <c r="I97" s="8">
        <f t="shared" si="36"/>
        <v>46566.343319999993</v>
      </c>
      <c r="J97" s="18"/>
      <c r="N97" s="11"/>
      <c r="O97" s="11"/>
    </row>
    <row r="98" spans="2:16" ht="20" customHeight="1">
      <c r="B98" s="6">
        <v>45658</v>
      </c>
      <c r="C98" s="6">
        <v>45689</v>
      </c>
      <c r="D98" s="32" t="s">
        <v>76</v>
      </c>
      <c r="E98" s="93">
        <v>86.713170000000005</v>
      </c>
      <c r="F98" s="14">
        <v>0.5</v>
      </c>
      <c r="G98" s="16">
        <v>1278.8</v>
      </c>
      <c r="H98" s="16">
        <v>266.18</v>
      </c>
      <c r="I98" s="8">
        <f t="shared" ref="I98:I99" si="37">E98*F98*(G98-H98)</f>
        <v>43903.745102699999</v>
      </c>
      <c r="J98" s="18"/>
      <c r="N98" s="11"/>
      <c r="O98" s="11"/>
    </row>
    <row r="99" spans="2:16" ht="20" customHeight="1">
      <c r="B99" s="6">
        <v>45689</v>
      </c>
      <c r="C99" s="6">
        <v>45717</v>
      </c>
      <c r="D99" s="32" t="s">
        <v>76</v>
      </c>
      <c r="E99" s="93">
        <v>83.823999999999998</v>
      </c>
      <c r="F99" s="14">
        <v>0.5</v>
      </c>
      <c r="G99" s="16">
        <v>1278.8</v>
      </c>
      <c r="H99" s="16">
        <v>266.18</v>
      </c>
      <c r="I99" s="8">
        <f t="shared" si="37"/>
        <v>42440.929439999993</v>
      </c>
      <c r="J99" s="18"/>
      <c r="N99" s="11"/>
      <c r="O99" s="11"/>
    </row>
    <row r="100" spans="2:16" ht="20" customHeight="1">
      <c r="B100" s="6">
        <v>45717</v>
      </c>
      <c r="C100" s="6">
        <v>45748</v>
      </c>
      <c r="D100" s="32" t="s">
        <v>76</v>
      </c>
      <c r="E100" s="93">
        <v>91.942999999999998</v>
      </c>
      <c r="F100" s="14">
        <v>0.5</v>
      </c>
      <c r="G100" s="16">
        <v>1278.8</v>
      </c>
      <c r="H100" s="16">
        <v>266.18</v>
      </c>
      <c r="I100" s="8">
        <f t="shared" ref="I100:I103" si="38">E100*F100*(G100-H100)</f>
        <v>46551.660329999992</v>
      </c>
      <c r="J100" s="18"/>
      <c r="N100" s="11"/>
      <c r="O100" s="11"/>
    </row>
    <row r="101" spans="2:16" ht="20" customHeight="1">
      <c r="B101" s="6">
        <v>45748</v>
      </c>
      <c r="C101" s="6">
        <v>45778</v>
      </c>
      <c r="D101" s="32" t="s">
        <v>76</v>
      </c>
      <c r="E101" s="93">
        <v>92.602000000000004</v>
      </c>
      <c r="F101" s="14">
        <v>0.5</v>
      </c>
      <c r="G101" s="16">
        <v>1278.8</v>
      </c>
      <c r="H101" s="16">
        <v>266.18</v>
      </c>
      <c r="I101" s="8">
        <f t="shared" si="38"/>
        <v>46885.318619999998</v>
      </c>
      <c r="J101" s="18"/>
      <c r="N101" s="11"/>
      <c r="O101" s="11"/>
    </row>
    <row r="102" spans="2:16" ht="20" customHeight="1">
      <c r="B102" s="6">
        <v>45778</v>
      </c>
      <c r="C102" s="6">
        <v>45809</v>
      </c>
      <c r="D102" s="32" t="s">
        <v>76</v>
      </c>
      <c r="E102" s="93">
        <v>95.6</v>
      </c>
      <c r="F102" s="14">
        <v>0.5</v>
      </c>
      <c r="G102" s="16">
        <v>1278.8</v>
      </c>
      <c r="H102" s="16">
        <v>266.18</v>
      </c>
      <c r="I102" s="8">
        <f t="shared" si="38"/>
        <v>48403.23599999999</v>
      </c>
      <c r="J102" s="18"/>
      <c r="N102" s="11"/>
      <c r="O102" s="11"/>
    </row>
    <row r="103" spans="2:16" ht="20" customHeight="1">
      <c r="B103" s="6">
        <v>45809</v>
      </c>
      <c r="C103" s="6">
        <v>45839</v>
      </c>
      <c r="D103" s="32" t="s">
        <v>76</v>
      </c>
      <c r="E103" s="93">
        <v>91.21</v>
      </c>
      <c r="F103" s="14">
        <v>0.5</v>
      </c>
      <c r="G103" s="16">
        <v>1278.8</v>
      </c>
      <c r="H103" s="16">
        <v>266.18</v>
      </c>
      <c r="I103" s="8">
        <f t="shared" si="38"/>
        <v>46180.535099999994</v>
      </c>
      <c r="J103" s="18"/>
      <c r="N103" s="11"/>
      <c r="O103" s="11"/>
    </row>
    <row r="104" spans="2:16" ht="20" customHeight="1">
      <c r="B104" s="20"/>
      <c r="C104" s="21"/>
      <c r="D104" s="21"/>
      <c r="E104" s="21"/>
      <c r="F104" s="21"/>
      <c r="G104" s="21"/>
      <c r="H104" s="22"/>
      <c r="I104" s="88"/>
      <c r="J104" s="24"/>
      <c r="K104" s="24"/>
      <c r="N104" s="11"/>
    </row>
    <row r="105" spans="2:16" ht="15">
      <c r="B105" s="1" t="s">
        <v>71</v>
      </c>
      <c r="N105" s="25"/>
      <c r="P105" s="24"/>
    </row>
    <row r="106" spans="2:16" ht="19.5" customHeight="1">
      <c r="B106" s="35"/>
      <c r="I106" s="26"/>
      <c r="N106" s="9"/>
      <c r="O106" s="11"/>
    </row>
    <row r="107" spans="2:16" ht="19.5" customHeight="1">
      <c r="D107" s="102" t="s">
        <v>24</v>
      </c>
      <c r="E107" s="103"/>
      <c r="H107" s="26"/>
      <c r="M107" s="24"/>
      <c r="O107" s="11"/>
    </row>
    <row r="108" spans="2:16" ht="19.5" customHeight="1">
      <c r="D108" s="14" t="s">
        <v>4</v>
      </c>
      <c r="E108" s="36">
        <v>4914570</v>
      </c>
      <c r="F108" s="37"/>
      <c r="H108" s="27"/>
      <c r="I108" s="26"/>
      <c r="M108" s="24"/>
      <c r="O108" s="11"/>
    </row>
    <row r="109" spans="2:16" ht="19.5" customHeight="1">
      <c r="C109" s="39">
        <v>43282</v>
      </c>
      <c r="D109" s="76" t="s">
        <v>5</v>
      </c>
      <c r="E109" s="87">
        <f>SUMIF($B$9:$B$104,"&lt;="&amp;C109,$I$9:$I$104)</f>
        <v>571655.84426893736</v>
      </c>
      <c r="I109" s="26"/>
      <c r="N109" s="11"/>
      <c r="O109" s="11"/>
    </row>
    <row r="110" spans="2:16" ht="19.5" customHeight="1">
      <c r="C110" s="37"/>
      <c r="D110" s="14" t="s">
        <v>6</v>
      </c>
      <c r="E110" s="36">
        <f>E108-E109</f>
        <v>4342914.1557310624</v>
      </c>
      <c r="I110" s="26"/>
      <c r="N110" s="11"/>
      <c r="O110" s="11"/>
    </row>
    <row r="111" spans="2:16" ht="19.5" customHeight="1">
      <c r="C111" s="37"/>
      <c r="D111" s="14" t="s">
        <v>7</v>
      </c>
      <c r="E111" s="36">
        <f>ROUND(E110*VLOOKUP(YEAR($C109),IPCA!$B$4:$N$17,MONTH($C109)+1,0)/VLOOKUP(YEAR($C109)-1,IPCA!$B$4:$N$17,MONTH($C109)+1,0),2)</f>
        <v>4537687.07</v>
      </c>
      <c r="F111" s="26"/>
      <c r="I111" s="26"/>
      <c r="N111" s="11"/>
      <c r="O111" s="11"/>
    </row>
    <row r="112" spans="2:16" ht="19.5" customHeight="1">
      <c r="C112" s="39">
        <v>43647</v>
      </c>
      <c r="D112" s="76" t="s">
        <v>8</v>
      </c>
      <c r="E112" s="87">
        <f>SUMIF($B$9:$B$104,"&lt;="&amp;C112,$I$9:$I$104)-SUMIF($B$9:$B$104,"&lt;="&amp;C109,$I$9:$I$104)</f>
        <v>567887.12152981409</v>
      </c>
      <c r="I112" s="26"/>
      <c r="N112" s="11"/>
      <c r="O112" s="11"/>
    </row>
    <row r="113" spans="3:15" ht="19.5" customHeight="1">
      <c r="C113" s="37"/>
      <c r="D113" s="14" t="s">
        <v>6</v>
      </c>
      <c r="E113" s="36">
        <f>E111-E112</f>
        <v>3969799.9484701864</v>
      </c>
      <c r="I113" s="26"/>
      <c r="N113" s="11"/>
      <c r="O113" s="11"/>
    </row>
    <row r="114" spans="3:15" ht="19.5" customHeight="1">
      <c r="C114" s="37"/>
      <c r="D114" s="14" t="s">
        <v>7</v>
      </c>
      <c r="E114" s="36">
        <f>ROUND(E113*VLOOKUP(YEAR($C112),IPCA!$B$4:$N$17,MONTH($C112)+1,0)/VLOOKUP(YEAR($C112)-1,IPCA!$B$4:$N$17,MONTH($C112)+1,0),2)</f>
        <v>4097707.72</v>
      </c>
      <c r="F114" s="26"/>
      <c r="I114" s="26"/>
      <c r="N114" s="11"/>
      <c r="O114" s="11"/>
    </row>
    <row r="115" spans="3:15" ht="19.5" customHeight="1">
      <c r="C115" s="39">
        <v>44013</v>
      </c>
      <c r="D115" s="76" t="s">
        <v>9</v>
      </c>
      <c r="E115" s="87">
        <f>SUMIF($B$9:$B$104,"&lt;="&amp;C115,$I$9:$I$104)-SUMIF($B$9:$B$104,"&lt;="&amp;C112,$I$9:$I$104)</f>
        <v>590323.00999999954</v>
      </c>
      <c r="I115" s="26"/>
      <c r="N115" s="11"/>
      <c r="O115" s="11"/>
    </row>
    <row r="116" spans="3:15" ht="19.5" customHeight="1">
      <c r="D116" s="14" t="s">
        <v>6</v>
      </c>
      <c r="E116" s="36">
        <f>E114-E115</f>
        <v>3507384.7100000009</v>
      </c>
      <c r="F116" s="37"/>
      <c r="I116" s="26"/>
      <c r="N116" s="11"/>
      <c r="O116" s="11"/>
    </row>
    <row r="117" spans="3:15" ht="19.5" customHeight="1">
      <c r="C117" s="37"/>
      <c r="D117" s="14" t="s">
        <v>7</v>
      </c>
      <c r="E117" s="36">
        <f>ROUND(E116*VLOOKUP(YEAR($C115),IPCA!$B$4:$N$17,MONTH($C115)+1,0)/VLOOKUP(YEAR($C115)-1,IPCA!$B$4:$N$17,MONTH($C115)+1,0),2)</f>
        <v>3588251.85</v>
      </c>
      <c r="F117" s="26"/>
      <c r="I117" s="26"/>
      <c r="N117" s="11"/>
      <c r="O117" s="11"/>
    </row>
    <row r="118" spans="3:15" ht="19.5" customHeight="1">
      <c r="C118" s="39">
        <v>44378</v>
      </c>
      <c r="D118" s="76" t="s">
        <v>25</v>
      </c>
      <c r="E118" s="87">
        <f>SUMIF($B$9:$B$104,"&lt;="&amp;C118,$I$9:$I$104)-SUMIF($B$9:$B$104,"&lt;="&amp;C115,$I$9:$I$104)</f>
        <v>571069.12000000034</v>
      </c>
      <c r="I118" s="26"/>
      <c r="N118" s="11"/>
      <c r="O118" s="11"/>
    </row>
    <row r="119" spans="3:15" ht="19.5" customHeight="1">
      <c r="D119" s="14" t="s">
        <v>6</v>
      </c>
      <c r="E119" s="36">
        <f>E117-E118</f>
        <v>3017182.7299999995</v>
      </c>
      <c r="F119" s="37"/>
      <c r="I119" s="26"/>
      <c r="N119" s="11"/>
      <c r="O119" s="11"/>
    </row>
    <row r="120" spans="3:15" ht="19.5" customHeight="1">
      <c r="C120" s="37"/>
      <c r="D120" s="14" t="s">
        <v>7</v>
      </c>
      <c r="E120" s="36">
        <f>ROUND(E119*VLOOKUP(YEAR($C118),IPCA!$B$4:$N$17,MONTH($C118)+1,0)/VLOOKUP(YEAR($C118)-1,IPCA!$B$4:$N$17,MONTH($C118)+1,0),2)</f>
        <v>3288572.97</v>
      </c>
      <c r="F120" s="26"/>
      <c r="I120" s="26"/>
      <c r="N120" s="11"/>
      <c r="O120" s="11"/>
    </row>
    <row r="121" spans="3:15" ht="19.5" customHeight="1">
      <c r="C121" s="39">
        <v>44743</v>
      </c>
      <c r="D121" s="76" t="s">
        <v>26</v>
      </c>
      <c r="E121" s="87">
        <f>SUMIF($B$9:$B$104,"&lt;="&amp;C121,$I$9:$I$104)-SUMIF($B$9:$B$104,"&lt;="&amp;C118,$I$9:$I$104)</f>
        <v>577927.58000000054</v>
      </c>
      <c r="I121" s="26"/>
      <c r="N121" s="11"/>
      <c r="O121" s="11"/>
    </row>
    <row r="122" spans="3:15" ht="19.5" customHeight="1">
      <c r="C122" s="39"/>
      <c r="D122" s="14" t="s">
        <v>6</v>
      </c>
      <c r="E122" s="36">
        <f>E120-E121</f>
        <v>2710645.3899999997</v>
      </c>
      <c r="I122" s="26"/>
      <c r="N122" s="11"/>
      <c r="O122" s="11"/>
    </row>
    <row r="123" spans="3:15" ht="19.5" customHeight="1">
      <c r="C123" s="37"/>
      <c r="D123" s="14" t="s">
        <v>7</v>
      </c>
      <c r="E123" s="36">
        <f>ROUND(E122*VLOOKUP(YEAR($C121),IPCA!$B$4:$N$17,MONTH($C121)+1,0)/VLOOKUP(YEAR($C121)-1,IPCA!$B$4:$N$17,MONTH($C121)+1,0),2)</f>
        <v>2983591.21</v>
      </c>
      <c r="F123" s="26"/>
      <c r="I123" s="26"/>
      <c r="N123" s="11"/>
      <c r="O123" s="11"/>
    </row>
    <row r="124" spans="3:15" ht="19.5" customHeight="1">
      <c r="C124" s="39">
        <v>45108</v>
      </c>
      <c r="D124" s="76" t="s">
        <v>27</v>
      </c>
      <c r="E124" s="87">
        <f>SUMIF($B$9:$B$104,"&lt;="&amp;C124,$I$9:$I$104)-SUMIF($B$9:$B$104,"&lt;="&amp;C121,$I$9:$I$104)</f>
        <v>562843.05000000121</v>
      </c>
      <c r="I124" s="26"/>
      <c r="N124" s="11"/>
      <c r="O124" s="11"/>
    </row>
    <row r="125" spans="3:15" ht="19.5" customHeight="1">
      <c r="C125" s="39"/>
      <c r="D125" s="14" t="s">
        <v>6</v>
      </c>
      <c r="E125" s="36">
        <f>E123-E124</f>
        <v>2420748.1599999988</v>
      </c>
      <c r="I125" s="26"/>
      <c r="N125" s="11"/>
      <c r="O125" s="11"/>
    </row>
    <row r="126" spans="3:15" ht="19.5" customHeight="1">
      <c r="C126" s="37"/>
      <c r="D126" s="14" t="s">
        <v>7</v>
      </c>
      <c r="E126" s="36">
        <f>ROUND(E125*VLOOKUP(YEAR($C124),IPCA!$B$4:$N$17,MONTH($C124)+1,0)/VLOOKUP(YEAR($C124)-1,IPCA!$B$4:$N$17,MONTH($C124)+1,0),2)</f>
        <v>2517393.85</v>
      </c>
      <c r="F126" s="26"/>
      <c r="I126" s="26"/>
      <c r="N126" s="11"/>
      <c r="O126" s="11"/>
    </row>
    <row r="127" spans="3:15" ht="19.5" customHeight="1">
      <c r="C127" s="39">
        <v>45474</v>
      </c>
      <c r="D127" s="76" t="s">
        <v>38</v>
      </c>
      <c r="E127" s="87">
        <f>SUMIF($B$9:$B$104,"&lt;="&amp;C127,$I$9:$I$104)-SUMIF($B$9:$B$104,"&lt;="&amp;C124,$I$9:$I$104)</f>
        <v>549154.96136999968</v>
      </c>
      <c r="I127" s="26"/>
      <c r="N127" s="11"/>
      <c r="O127" s="11"/>
    </row>
    <row r="128" spans="3:15">
      <c r="C128" s="39"/>
      <c r="D128" s="14" t="s">
        <v>6</v>
      </c>
      <c r="E128" s="36">
        <f>E126-E127</f>
        <v>1968238.8886300004</v>
      </c>
      <c r="I128" s="26"/>
      <c r="N128" s="11"/>
    </row>
    <row r="129" spans="3:14">
      <c r="C129" s="39"/>
      <c r="D129" s="14" t="s">
        <v>7</v>
      </c>
      <c r="E129" s="36">
        <f>ROUND(E128*VLOOKUP(YEAR($C127),IPCA!$B$4:$N$17,MONTH($C127)+1,0)/VLOOKUP(YEAR($C127)-1,IPCA!$B$4:$N$17,MONTH($C127)+1,0),2)</f>
        <v>2056777.97</v>
      </c>
      <c r="I129" s="26"/>
      <c r="N129" s="11"/>
    </row>
    <row r="130" spans="3:14" ht="15">
      <c r="C130" s="39">
        <v>45839</v>
      </c>
      <c r="D130" s="76" t="s">
        <v>39</v>
      </c>
      <c r="E130" s="87">
        <f>SUMIF($B$9:$B$104,"&lt;="&amp;C130,$I$9:$I$104)-SUMIF($B$9:$B$104,"&lt;="&amp;C127,$I$9:$I$104)</f>
        <v>512368.59153269976</v>
      </c>
      <c r="I130" s="26"/>
      <c r="N130" s="11"/>
    </row>
    <row r="131" spans="3:14">
      <c r="C131" s="39"/>
      <c r="D131" s="14" t="s">
        <v>6</v>
      </c>
      <c r="E131" s="36">
        <f>E129-E130</f>
        <v>1544409.3784673002</v>
      </c>
      <c r="I131" s="26"/>
      <c r="N131" s="11"/>
    </row>
    <row r="132" spans="3:14" ht="15">
      <c r="D132" s="20"/>
      <c r="E132" s="40"/>
    </row>
    <row r="134" spans="3:14">
      <c r="D134" s="11" t="s">
        <v>72</v>
      </c>
      <c r="E134" s="18">
        <f>SUMIF($D$108:$D$126,"Montante Atualizado",$E$108:$E$126)-SUMIF($D$108:$D$126,"Diferença",$E$108:$E$126)</f>
        <v>1044529.5757987499</v>
      </c>
    </row>
    <row r="1127" spans="3:15">
      <c r="O1127" s="11"/>
    </row>
    <row r="1128" spans="3:15">
      <c r="N1128" s="11"/>
      <c r="O1128" s="11"/>
    </row>
    <row r="1129" spans="3:15">
      <c r="N1129" s="11"/>
      <c r="O1129" s="11"/>
    </row>
    <row r="1130" spans="3:15">
      <c r="N1130" s="11"/>
      <c r="O1130" s="11"/>
    </row>
    <row r="1131" spans="3:15">
      <c r="C1131" s="29"/>
      <c r="N1131" s="11"/>
      <c r="O1131" s="11"/>
    </row>
    <row r="1132" spans="3:15">
      <c r="C1132" s="29"/>
      <c r="N1132" s="11"/>
      <c r="O1132" s="11"/>
    </row>
    <row r="1133" spans="3:15">
      <c r="C1133" s="29"/>
      <c r="N1133" s="11"/>
      <c r="O1133" s="11"/>
    </row>
    <row r="1134" spans="3:15">
      <c r="C1134" s="29"/>
      <c r="N1134" s="11"/>
      <c r="O1134" s="11"/>
    </row>
    <row r="1135" spans="3:15">
      <c r="C1135" s="29"/>
      <c r="N1135" s="11"/>
      <c r="O1135" s="11"/>
    </row>
    <row r="1136" spans="3:15">
      <c r="C1136" s="29"/>
      <c r="N1136" s="11"/>
    </row>
    <row r="1137" spans="3:3">
      <c r="C1137" s="29"/>
    </row>
    <row r="1138" spans="3:3">
      <c r="C1138" s="29"/>
    </row>
    <row r="1139" spans="3:3">
      <c r="C1139" s="29"/>
    </row>
  </sheetData>
  <mergeCells count="1">
    <mergeCell ref="D107:E107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D991B-2DA5-4833-AE32-A9008221F1B1}">
  <dimension ref="B1:Q1065"/>
  <sheetViews>
    <sheetView showGridLines="0" zoomScale="80" zoomScaleNormal="80" workbookViewId="0">
      <pane xSplit="3" ySplit="8" topLeftCell="E37" activePane="bottomRight" state="frozen"/>
      <selection activeCell="D12" sqref="D12"/>
      <selection pane="topRight" activeCell="D12" sqref="D12"/>
      <selection pane="bottomLeft" activeCell="D12" sqref="D12"/>
      <selection pane="bottomRight" activeCell="E43" sqref="E43"/>
    </sheetView>
  </sheetViews>
  <sheetFormatPr defaultColWidth="9.1796875" defaultRowHeight="14.5"/>
  <cols>
    <col min="1" max="1" width="3.7265625" style="11" customWidth="1"/>
    <col min="2" max="2" width="16.7265625" style="11" customWidth="1"/>
    <col min="3" max="3" width="53.7265625" style="11" customWidth="1"/>
    <col min="4" max="4" width="62.1796875" style="11" customWidth="1"/>
    <col min="5" max="10" width="24.7265625" style="11" customWidth="1"/>
    <col min="11" max="11" width="10.7265625" style="11" bestFit="1" customWidth="1"/>
    <col min="12" max="12" width="6.1796875" style="11" bestFit="1" customWidth="1"/>
    <col min="13" max="13" width="21.54296875" style="11" bestFit="1" customWidth="1"/>
    <col min="14" max="14" width="15.453125" style="11" bestFit="1" customWidth="1"/>
    <col min="15" max="16" width="20.7265625" style="24" customWidth="1"/>
    <col min="17" max="16384" width="9.1796875" style="11"/>
  </cols>
  <sheetData>
    <row r="1" spans="2:16" s="1" customFormat="1"/>
    <row r="2" spans="2:16" s="1" customFormat="1" ht="24">
      <c r="D2" s="4" t="s">
        <v>40</v>
      </c>
      <c r="H2" s="2"/>
    </row>
    <row r="3" spans="2:16" s="1" customFormat="1" ht="24">
      <c r="D3" s="4" t="s">
        <v>35</v>
      </c>
      <c r="H3" s="2"/>
    </row>
    <row r="4" spans="2:16" ht="16">
      <c r="B4" s="60"/>
      <c r="C4" s="58"/>
      <c r="E4" s="10"/>
      <c r="F4" s="49"/>
      <c r="G4" s="10"/>
      <c r="H4" s="10"/>
      <c r="I4" s="10"/>
      <c r="J4" s="10"/>
      <c r="K4" s="10"/>
      <c r="L4" s="10"/>
      <c r="M4" s="10"/>
      <c r="N4" s="9"/>
      <c r="O4" s="11"/>
      <c r="P4" s="11"/>
    </row>
    <row r="5" spans="2:16" ht="16">
      <c r="B5" s="60" t="s">
        <v>60</v>
      </c>
      <c r="D5" s="60" t="s">
        <v>65</v>
      </c>
      <c r="E5" s="10"/>
      <c r="F5" s="49"/>
      <c r="G5" s="10"/>
      <c r="H5" s="10"/>
      <c r="I5" s="10"/>
      <c r="J5" s="10"/>
      <c r="K5" s="10"/>
      <c r="L5" s="10"/>
      <c r="M5" s="10"/>
      <c r="N5" s="9"/>
      <c r="O5" s="11"/>
      <c r="P5" s="11"/>
    </row>
    <row r="6" spans="2:16" ht="16">
      <c r="B6" s="60" t="s">
        <v>61</v>
      </c>
      <c r="D6" s="60" t="s">
        <v>66</v>
      </c>
      <c r="E6" s="10"/>
      <c r="F6" s="49"/>
      <c r="G6" s="10"/>
      <c r="H6" s="10"/>
      <c r="I6" s="10"/>
      <c r="J6" s="10"/>
      <c r="K6" s="10"/>
      <c r="L6" s="10"/>
      <c r="M6" s="10"/>
      <c r="N6" s="9"/>
      <c r="O6" s="11"/>
      <c r="P6" s="11"/>
    </row>
    <row r="7" spans="2:16" ht="16">
      <c r="B7" s="60"/>
      <c r="C7" s="58"/>
      <c r="E7" s="10"/>
      <c r="F7" s="49"/>
      <c r="G7" s="10"/>
      <c r="H7" s="10"/>
      <c r="I7" s="10"/>
      <c r="J7" s="10"/>
      <c r="K7" s="10"/>
      <c r="L7" s="10"/>
      <c r="M7" s="10"/>
      <c r="N7" s="9"/>
      <c r="O7" s="11"/>
      <c r="P7" s="11"/>
    </row>
    <row r="8" spans="2:16" s="9" customFormat="1" ht="30">
      <c r="B8" s="30" t="s">
        <v>34</v>
      </c>
      <c r="C8" s="30" t="s">
        <v>52</v>
      </c>
      <c r="D8" s="30" t="s">
        <v>53</v>
      </c>
      <c r="E8" s="59" t="s">
        <v>54</v>
      </c>
      <c r="F8" s="59" t="s">
        <v>55</v>
      </c>
      <c r="G8" s="59" t="s">
        <v>57</v>
      </c>
      <c r="H8" s="59" t="s">
        <v>56</v>
      </c>
      <c r="I8" s="59" t="s">
        <v>58</v>
      </c>
      <c r="J8" s="59" t="s">
        <v>59</v>
      </c>
      <c r="K8" s="31"/>
      <c r="L8" s="13"/>
    </row>
    <row r="9" spans="2:16" ht="20.149999999999999" customHeight="1">
      <c r="B9" s="6">
        <v>44774</v>
      </c>
      <c r="C9" s="6">
        <v>44805</v>
      </c>
      <c r="D9" s="32" t="s">
        <v>47</v>
      </c>
      <c r="E9" s="33">
        <v>0</v>
      </c>
      <c r="F9" s="14">
        <v>0.5</v>
      </c>
      <c r="G9" s="34">
        <v>2335.08</v>
      </c>
      <c r="H9" s="16">
        <v>266.18</v>
      </c>
      <c r="I9" s="16">
        <v>0</v>
      </c>
      <c r="J9" s="8">
        <f>ROUND(E9*F9*(G9-H9-I9),2)</f>
        <v>0</v>
      </c>
      <c r="K9" s="17"/>
      <c r="L9" s="18"/>
      <c r="O9" s="11"/>
      <c r="P9" s="11"/>
    </row>
    <row r="10" spans="2:16" ht="20.149999999999999" customHeight="1">
      <c r="B10" s="6">
        <v>44805</v>
      </c>
      <c r="C10" s="6">
        <v>44835</v>
      </c>
      <c r="D10" s="32" t="s">
        <v>47</v>
      </c>
      <c r="E10" s="33">
        <v>607.80999999999995</v>
      </c>
      <c r="F10" s="14">
        <v>0.5</v>
      </c>
      <c r="G10" s="34">
        <v>2335.08</v>
      </c>
      <c r="H10" s="16">
        <v>266.18</v>
      </c>
      <c r="I10" s="16">
        <v>0</v>
      </c>
      <c r="J10" s="8">
        <f>ROUND(E10*F10*(G10-H10-I10),2)</f>
        <v>628749.05000000005</v>
      </c>
      <c r="K10" s="17"/>
      <c r="L10" s="18"/>
      <c r="O10" s="11"/>
      <c r="P10" s="11"/>
    </row>
    <row r="11" spans="2:16" ht="20.149999999999999" customHeight="1">
      <c r="B11" s="6">
        <v>44835</v>
      </c>
      <c r="C11" s="6">
        <v>44866</v>
      </c>
      <c r="D11" s="32" t="s">
        <v>47</v>
      </c>
      <c r="E11" s="33">
        <v>692.09299999999996</v>
      </c>
      <c r="F11" s="14">
        <v>0.5</v>
      </c>
      <c r="G11" s="34">
        <v>2335.08</v>
      </c>
      <c r="H11" s="16">
        <v>266.18</v>
      </c>
      <c r="I11" s="16">
        <v>0</v>
      </c>
      <c r="J11" s="8">
        <f t="shared" ref="J11:J15" si="0">ROUND(E11*F11*(G11-H11-I11),2)</f>
        <v>715935.6</v>
      </c>
      <c r="K11" s="17"/>
      <c r="L11" s="18"/>
      <c r="O11" s="11"/>
      <c r="P11" s="11"/>
    </row>
    <row r="12" spans="2:16" ht="20.149999999999999" customHeight="1">
      <c r="B12" s="6">
        <v>44866</v>
      </c>
      <c r="C12" s="6">
        <v>44896</v>
      </c>
      <c r="D12" s="32" t="s">
        <v>47</v>
      </c>
      <c r="E12" s="33">
        <v>693.73299999999995</v>
      </c>
      <c r="F12" s="14">
        <v>0.5</v>
      </c>
      <c r="G12" s="34">
        <v>2335.08</v>
      </c>
      <c r="H12" s="16">
        <v>266.18</v>
      </c>
      <c r="I12" s="16">
        <v>0</v>
      </c>
      <c r="J12" s="8">
        <f t="shared" si="0"/>
        <v>717632.1</v>
      </c>
      <c r="K12" s="17"/>
      <c r="L12" s="18"/>
      <c r="O12" s="11"/>
      <c r="P12" s="11"/>
    </row>
    <row r="13" spans="2:16" ht="20.149999999999999" customHeight="1">
      <c r="B13" s="6">
        <v>44896</v>
      </c>
      <c r="C13" s="6">
        <v>44927</v>
      </c>
      <c r="D13" s="32" t="s">
        <v>47</v>
      </c>
      <c r="E13" s="33">
        <v>595.27549999999997</v>
      </c>
      <c r="F13" s="14">
        <v>0.5</v>
      </c>
      <c r="G13" s="34">
        <v>2335.08</v>
      </c>
      <c r="H13" s="16">
        <v>266.18</v>
      </c>
      <c r="I13" s="16">
        <v>0</v>
      </c>
      <c r="J13" s="8">
        <f t="shared" si="0"/>
        <v>615782.74</v>
      </c>
      <c r="K13" s="17"/>
      <c r="L13" s="18"/>
      <c r="O13" s="11"/>
      <c r="P13" s="11"/>
    </row>
    <row r="14" spans="2:16" ht="20.149999999999999" customHeight="1">
      <c r="B14" s="6">
        <v>44927</v>
      </c>
      <c r="C14" s="6">
        <v>44958</v>
      </c>
      <c r="D14" s="32" t="s">
        <v>47</v>
      </c>
      <c r="E14" s="33">
        <v>613.05399999999997</v>
      </c>
      <c r="F14" s="14">
        <v>0.5</v>
      </c>
      <c r="G14" s="34">
        <v>2335.08</v>
      </c>
      <c r="H14" s="16">
        <v>266.18</v>
      </c>
      <c r="I14" s="16">
        <v>0</v>
      </c>
      <c r="J14" s="8">
        <f t="shared" si="0"/>
        <v>634173.71</v>
      </c>
      <c r="K14" s="17"/>
      <c r="L14" s="18"/>
      <c r="O14" s="11"/>
      <c r="P14" s="11"/>
    </row>
    <row r="15" spans="2:16" ht="20.149999999999999" customHeight="1">
      <c r="B15" s="6">
        <v>44958</v>
      </c>
      <c r="C15" s="6">
        <v>44986</v>
      </c>
      <c r="D15" s="32" t="s">
        <v>47</v>
      </c>
      <c r="E15" s="33">
        <v>597.84900000000005</v>
      </c>
      <c r="F15" s="14">
        <v>0.5</v>
      </c>
      <c r="G15" s="34">
        <v>2335.08</v>
      </c>
      <c r="H15" s="16">
        <v>266.18</v>
      </c>
      <c r="I15" s="16">
        <v>0</v>
      </c>
      <c r="J15" s="8">
        <f t="shared" si="0"/>
        <v>618444.9</v>
      </c>
      <c r="K15" s="17"/>
      <c r="L15" s="18"/>
      <c r="O15" s="11"/>
      <c r="P15" s="11"/>
    </row>
    <row r="16" spans="2:16" ht="20.149999999999999" customHeight="1">
      <c r="B16" s="6">
        <v>44986</v>
      </c>
      <c r="C16" s="6">
        <v>45017</v>
      </c>
      <c r="D16" s="32" t="s">
        <v>47</v>
      </c>
      <c r="E16" s="33">
        <v>648.51400000000001</v>
      </c>
      <c r="F16" s="14">
        <v>0.5</v>
      </c>
      <c r="G16" s="34">
        <v>2335.08</v>
      </c>
      <c r="H16" s="16">
        <v>266.18</v>
      </c>
      <c r="I16" s="16">
        <v>0</v>
      </c>
      <c r="J16" s="8">
        <f t="shared" ref="J16:J17" si="1">ROUND(E16*F16*(G16-H16-I16),2)</f>
        <v>670855.31000000006</v>
      </c>
      <c r="K16" s="17"/>
      <c r="L16" s="18"/>
      <c r="O16" s="11"/>
      <c r="P16" s="11"/>
    </row>
    <row r="17" spans="2:16" ht="20.149999999999999" customHeight="1">
      <c r="B17" s="6">
        <v>45017</v>
      </c>
      <c r="C17" s="6">
        <v>45047</v>
      </c>
      <c r="D17" s="32" t="s">
        <v>47</v>
      </c>
      <c r="E17" s="33">
        <v>639.43100000000004</v>
      </c>
      <c r="F17" s="14">
        <v>0.5</v>
      </c>
      <c r="G17" s="34">
        <v>2335.08</v>
      </c>
      <c r="H17" s="16">
        <v>266.18</v>
      </c>
      <c r="I17" s="16">
        <v>0</v>
      </c>
      <c r="J17" s="8">
        <f t="shared" si="1"/>
        <v>661459.4</v>
      </c>
      <c r="K17" s="17"/>
      <c r="L17" s="18"/>
      <c r="O17" s="11"/>
      <c r="P17" s="11"/>
    </row>
    <row r="18" spans="2:16" ht="20.149999999999999" customHeight="1">
      <c r="B18" s="6">
        <v>45047</v>
      </c>
      <c r="C18" s="6">
        <v>45078</v>
      </c>
      <c r="D18" s="32" t="s">
        <v>47</v>
      </c>
      <c r="E18" s="33">
        <v>695.798</v>
      </c>
      <c r="F18" s="14">
        <v>0.5</v>
      </c>
      <c r="G18" s="34">
        <v>2335.08</v>
      </c>
      <c r="H18" s="16">
        <v>266.18</v>
      </c>
      <c r="I18" s="16">
        <v>0</v>
      </c>
      <c r="J18" s="8">
        <f t="shared" ref="J18:J21" si="2">ROUND(E18*F18*(G18-H18-I18),2)</f>
        <v>719768.24</v>
      </c>
      <c r="K18" s="17"/>
      <c r="L18" s="18"/>
      <c r="O18" s="11"/>
      <c r="P18" s="11"/>
    </row>
    <row r="19" spans="2:16" ht="20.149999999999999" customHeight="1">
      <c r="B19" s="6">
        <v>45078</v>
      </c>
      <c r="C19" s="6">
        <v>45108</v>
      </c>
      <c r="D19" s="32" t="s">
        <v>47</v>
      </c>
      <c r="E19" s="33">
        <v>662.029</v>
      </c>
      <c r="F19" s="14">
        <v>0.5</v>
      </c>
      <c r="G19" s="34">
        <v>2335.08</v>
      </c>
      <c r="H19" s="16">
        <v>266.18</v>
      </c>
      <c r="I19" s="16">
        <v>0</v>
      </c>
      <c r="J19" s="8">
        <f t="shared" si="2"/>
        <v>684835.9</v>
      </c>
      <c r="K19" s="17"/>
      <c r="L19" s="18"/>
      <c r="O19" s="11"/>
      <c r="P19" s="11"/>
    </row>
    <row r="20" spans="2:16" ht="20.149999999999999" customHeight="1">
      <c r="B20" s="6">
        <v>45108</v>
      </c>
      <c r="C20" s="6">
        <v>45139</v>
      </c>
      <c r="D20" s="32" t="s">
        <v>47</v>
      </c>
      <c r="E20" s="33">
        <v>691.87900000000002</v>
      </c>
      <c r="F20" s="14">
        <v>0.5</v>
      </c>
      <c r="G20" s="34">
        <v>2335.08</v>
      </c>
      <c r="H20" s="16">
        <v>266.18</v>
      </c>
      <c r="I20" s="16">
        <v>0</v>
      </c>
      <c r="J20" s="8">
        <f t="shared" si="2"/>
        <v>715714.23</v>
      </c>
      <c r="K20" s="17"/>
      <c r="L20" s="18"/>
      <c r="O20" s="11"/>
      <c r="P20" s="11"/>
    </row>
    <row r="21" spans="2:16" ht="20.149999999999999" customHeight="1">
      <c r="B21" s="6">
        <v>45139</v>
      </c>
      <c r="C21" s="6">
        <v>45170</v>
      </c>
      <c r="D21" s="32" t="s">
        <v>47</v>
      </c>
      <c r="E21" s="33">
        <v>784</v>
      </c>
      <c r="F21" s="14">
        <v>0.5</v>
      </c>
      <c r="G21" s="34">
        <v>2335.08</v>
      </c>
      <c r="H21" s="16">
        <v>266.18</v>
      </c>
      <c r="I21" s="16">
        <v>0</v>
      </c>
      <c r="J21" s="8">
        <f t="shared" si="2"/>
        <v>811008.8</v>
      </c>
      <c r="K21" s="17"/>
      <c r="L21" s="18"/>
      <c r="O21" s="11"/>
      <c r="P21" s="11"/>
    </row>
    <row r="22" spans="2:16" ht="20.149999999999999" customHeight="1">
      <c r="B22" s="6">
        <v>45170</v>
      </c>
      <c r="C22" s="6">
        <v>45200</v>
      </c>
      <c r="D22" s="32" t="s">
        <v>47</v>
      </c>
      <c r="E22" s="33">
        <v>741.572</v>
      </c>
      <c r="F22" s="14">
        <v>0.5</v>
      </c>
      <c r="G22" s="34">
        <v>2335.08</v>
      </c>
      <c r="H22" s="16">
        <v>266.18</v>
      </c>
      <c r="I22" s="16">
        <v>0</v>
      </c>
      <c r="J22" s="8">
        <f t="shared" ref="J22:J24" si="3">ROUND(E22*F22*(G22-H22-I22),2)</f>
        <v>767119.16</v>
      </c>
      <c r="K22" s="17"/>
      <c r="L22" s="18"/>
      <c r="O22" s="11"/>
      <c r="P22" s="11"/>
    </row>
    <row r="23" spans="2:16" ht="20.149999999999999" customHeight="1">
      <c r="B23" s="6">
        <v>45200</v>
      </c>
      <c r="C23" s="6">
        <v>45231</v>
      </c>
      <c r="D23" s="32" t="s">
        <v>47</v>
      </c>
      <c r="E23" s="33">
        <v>786.56</v>
      </c>
      <c r="F23" s="14">
        <v>0.5</v>
      </c>
      <c r="G23" s="34">
        <v>2335.08</v>
      </c>
      <c r="H23" s="16">
        <v>266.18</v>
      </c>
      <c r="I23" s="16">
        <v>0</v>
      </c>
      <c r="J23" s="8">
        <f t="shared" si="3"/>
        <v>813656.99</v>
      </c>
      <c r="K23" s="17"/>
      <c r="L23" s="18"/>
      <c r="O23" s="11"/>
      <c r="P23" s="11"/>
    </row>
    <row r="24" spans="2:16" ht="20.149999999999999" customHeight="1">
      <c r="B24" s="6">
        <v>45231</v>
      </c>
      <c r="C24" s="6">
        <v>45261</v>
      </c>
      <c r="D24" s="32" t="s">
        <v>47</v>
      </c>
      <c r="E24" s="33">
        <v>753.45500000000004</v>
      </c>
      <c r="F24" s="14">
        <v>0.5</v>
      </c>
      <c r="G24" s="34">
        <v>2335.08</v>
      </c>
      <c r="H24" s="16">
        <v>266.18</v>
      </c>
      <c r="I24" s="16">
        <v>0</v>
      </c>
      <c r="J24" s="8">
        <f t="shared" si="3"/>
        <v>779411.52</v>
      </c>
      <c r="K24" s="17"/>
      <c r="L24" s="18"/>
      <c r="O24" s="11"/>
      <c r="P24" s="11"/>
    </row>
    <row r="25" spans="2:16" ht="20.149999999999999" customHeight="1">
      <c r="B25" s="6">
        <v>45261</v>
      </c>
      <c r="C25" s="6">
        <v>45292</v>
      </c>
      <c r="D25" s="32" t="s">
        <v>47</v>
      </c>
      <c r="E25" s="33">
        <v>661.47699999999998</v>
      </c>
      <c r="F25" s="14">
        <v>0.5</v>
      </c>
      <c r="G25" s="34">
        <v>2335.08</v>
      </c>
      <c r="H25" s="16">
        <v>266.18</v>
      </c>
      <c r="I25" s="16">
        <v>0</v>
      </c>
      <c r="J25" s="8">
        <f t="shared" ref="J25:J29" si="4">ROUND(E25*F25*(G25-H25-I25),2)</f>
        <v>684264.88</v>
      </c>
      <c r="K25" s="17"/>
      <c r="L25" s="18"/>
      <c r="O25" s="11"/>
      <c r="P25" s="11"/>
    </row>
    <row r="26" spans="2:16" ht="20.149999999999999" customHeight="1">
      <c r="B26" s="6">
        <v>45292</v>
      </c>
      <c r="C26" s="6">
        <v>45323</v>
      </c>
      <c r="D26" s="32" t="s">
        <v>47</v>
      </c>
      <c r="E26" s="33">
        <v>625.52499999999998</v>
      </c>
      <c r="F26" s="14">
        <v>0.5</v>
      </c>
      <c r="G26" s="34">
        <v>2335.08</v>
      </c>
      <c r="H26" s="16">
        <v>266.18</v>
      </c>
      <c r="I26" s="16">
        <v>0</v>
      </c>
      <c r="J26" s="8">
        <f t="shared" si="4"/>
        <v>647074.34</v>
      </c>
      <c r="K26" s="17"/>
      <c r="L26" s="18"/>
      <c r="O26" s="11"/>
      <c r="P26" s="11"/>
    </row>
    <row r="27" spans="2:16" ht="20.149999999999999" customHeight="1">
      <c r="B27" s="6">
        <v>45323</v>
      </c>
      <c r="C27" s="6">
        <v>45352</v>
      </c>
      <c r="D27" s="32" t="s">
        <v>47</v>
      </c>
      <c r="E27" s="33">
        <v>635.59799999999996</v>
      </c>
      <c r="F27" s="14">
        <v>0.5</v>
      </c>
      <c r="G27" s="34">
        <v>2335.08</v>
      </c>
      <c r="H27" s="16">
        <v>266.18</v>
      </c>
      <c r="I27" s="16">
        <v>0</v>
      </c>
      <c r="J27" s="8">
        <f t="shared" si="4"/>
        <v>657494.35</v>
      </c>
      <c r="K27" s="17"/>
      <c r="L27" s="18"/>
      <c r="O27" s="11"/>
      <c r="P27" s="11"/>
    </row>
    <row r="28" spans="2:16" ht="20.149999999999999" customHeight="1">
      <c r="B28" s="6">
        <v>45352</v>
      </c>
      <c r="C28" s="6">
        <v>45383</v>
      </c>
      <c r="D28" s="32" t="s">
        <v>47</v>
      </c>
      <c r="E28" s="33">
        <v>786.56</v>
      </c>
      <c r="F28" s="14">
        <v>0.5</v>
      </c>
      <c r="G28" s="34">
        <v>2335.08</v>
      </c>
      <c r="H28" s="16">
        <v>266.18</v>
      </c>
      <c r="I28" s="16">
        <v>0</v>
      </c>
      <c r="J28" s="8">
        <f t="shared" si="4"/>
        <v>813656.99</v>
      </c>
      <c r="K28" s="17"/>
      <c r="L28" s="18"/>
      <c r="O28" s="11"/>
      <c r="P28" s="11"/>
    </row>
    <row r="29" spans="2:16" ht="20.149999999999999" customHeight="1">
      <c r="B29" s="6">
        <v>45383</v>
      </c>
      <c r="C29" s="6">
        <v>45413</v>
      </c>
      <c r="D29" s="32" t="s">
        <v>47</v>
      </c>
      <c r="E29" s="89">
        <v>646.697</v>
      </c>
      <c r="F29" s="14">
        <v>0.5</v>
      </c>
      <c r="G29" s="34">
        <v>2335.08</v>
      </c>
      <c r="H29" s="16">
        <v>266.18</v>
      </c>
      <c r="I29" s="16">
        <v>0</v>
      </c>
      <c r="J29" s="8">
        <f t="shared" si="4"/>
        <v>668975.71</v>
      </c>
      <c r="K29" s="17"/>
      <c r="L29" s="18"/>
      <c r="O29" s="11"/>
      <c r="P29" s="11"/>
    </row>
    <row r="30" spans="2:16" ht="20.149999999999999" customHeight="1">
      <c r="B30" s="6">
        <v>45413</v>
      </c>
      <c r="C30" s="6">
        <v>45444</v>
      </c>
      <c r="D30" s="32" t="s">
        <v>75</v>
      </c>
      <c r="E30" s="89">
        <v>650.46445000000006</v>
      </c>
      <c r="F30" s="14">
        <v>0.5</v>
      </c>
      <c r="G30" s="34">
        <v>2335.08</v>
      </c>
      <c r="H30" s="16">
        <v>266.18</v>
      </c>
      <c r="I30" s="16">
        <v>0</v>
      </c>
      <c r="J30" s="8">
        <f t="shared" ref="J30:J32" si="5">ROUND(E30*F30*(G30-H30-I30),2)</f>
        <v>672872.95</v>
      </c>
      <c r="L30" s="18"/>
      <c r="O30" s="11"/>
      <c r="P30" s="11"/>
    </row>
    <row r="31" spans="2:16" ht="20.149999999999999" customHeight="1">
      <c r="B31" s="6">
        <v>45444</v>
      </c>
      <c r="C31" s="6">
        <v>45474</v>
      </c>
      <c r="D31" s="32" t="s">
        <v>75</v>
      </c>
      <c r="E31" s="89">
        <v>628.31677999999999</v>
      </c>
      <c r="F31" s="14">
        <v>0.5</v>
      </c>
      <c r="G31" s="34">
        <v>2335.08</v>
      </c>
      <c r="H31" s="16">
        <v>266.18</v>
      </c>
      <c r="I31" s="16">
        <v>0</v>
      </c>
      <c r="J31" s="8">
        <f t="shared" si="5"/>
        <v>649962.29</v>
      </c>
      <c r="L31" s="18"/>
      <c r="O31" s="11"/>
      <c r="P31" s="11"/>
    </row>
    <row r="32" spans="2:16" ht="20.149999999999999" customHeight="1">
      <c r="B32" s="6">
        <v>45474</v>
      </c>
      <c r="C32" s="6">
        <v>45505</v>
      </c>
      <c r="D32" s="32" t="s">
        <v>75</v>
      </c>
      <c r="E32" s="89">
        <v>664.88699999999994</v>
      </c>
      <c r="F32" s="14">
        <v>0.5</v>
      </c>
      <c r="G32" s="34">
        <v>2335.08</v>
      </c>
      <c r="H32" s="16">
        <v>266.18</v>
      </c>
      <c r="I32" s="16">
        <v>0</v>
      </c>
      <c r="J32" s="8">
        <f t="shared" si="5"/>
        <v>687792.36</v>
      </c>
      <c r="L32" s="18"/>
      <c r="O32" s="11"/>
      <c r="P32" s="11"/>
    </row>
    <row r="33" spans="2:17" ht="20.149999999999999" customHeight="1">
      <c r="B33" s="6">
        <v>45505</v>
      </c>
      <c r="C33" s="6">
        <v>45536</v>
      </c>
      <c r="D33" s="32" t="s">
        <v>75</v>
      </c>
      <c r="E33" s="89">
        <v>655.27433999999994</v>
      </c>
      <c r="F33" s="14">
        <v>0.5</v>
      </c>
      <c r="G33" s="34">
        <v>2335.08</v>
      </c>
      <c r="H33" s="16">
        <v>266.18</v>
      </c>
      <c r="I33" s="16">
        <v>0</v>
      </c>
      <c r="J33" s="98">
        <f t="shared" ref="J33:J37" si="6">ROUND(E33*F33*(G33-H33-I33),2)</f>
        <v>677848.54</v>
      </c>
      <c r="L33" s="18"/>
      <c r="O33" s="11"/>
      <c r="P33" s="11"/>
    </row>
    <row r="34" spans="2:17" ht="20.149999999999999" customHeight="1">
      <c r="B34" s="6">
        <v>45536</v>
      </c>
      <c r="C34" s="6">
        <v>45566</v>
      </c>
      <c r="D34" s="32" t="s">
        <v>75</v>
      </c>
      <c r="E34" s="89">
        <v>635.20811000000003</v>
      </c>
      <c r="F34" s="14">
        <v>0.5</v>
      </c>
      <c r="G34" s="34">
        <v>2335.08</v>
      </c>
      <c r="H34" s="16">
        <v>266.18</v>
      </c>
      <c r="I34" s="16">
        <v>0</v>
      </c>
      <c r="J34" s="98">
        <f t="shared" si="6"/>
        <v>657091.03</v>
      </c>
      <c r="L34" s="18"/>
      <c r="O34" s="11"/>
      <c r="P34" s="11"/>
    </row>
    <row r="35" spans="2:17" ht="20.149999999999999" customHeight="1">
      <c r="B35" s="6">
        <v>45566</v>
      </c>
      <c r="C35" s="6">
        <v>45597</v>
      </c>
      <c r="D35" s="32" t="s">
        <v>75</v>
      </c>
      <c r="E35" s="89">
        <v>661.71316999999999</v>
      </c>
      <c r="F35" s="14">
        <v>0.5</v>
      </c>
      <c r="G35" s="34">
        <v>2335.08</v>
      </c>
      <c r="H35" s="16">
        <v>266.18</v>
      </c>
      <c r="I35" s="16">
        <v>0</v>
      </c>
      <c r="J35" s="98">
        <f t="shared" si="6"/>
        <v>684509.19</v>
      </c>
      <c r="L35" s="18"/>
      <c r="O35" s="11"/>
      <c r="P35" s="11"/>
    </row>
    <row r="36" spans="2:17" ht="20.149999999999999" customHeight="1">
      <c r="B36" s="6">
        <v>45597</v>
      </c>
      <c r="C36" s="6">
        <v>45656</v>
      </c>
      <c r="D36" s="32" t="s">
        <v>75</v>
      </c>
      <c r="E36" s="89" t="s">
        <v>79</v>
      </c>
      <c r="F36" s="14">
        <v>0.5</v>
      </c>
      <c r="G36" s="34">
        <v>2335.08</v>
      </c>
      <c r="H36" s="16">
        <v>266.18</v>
      </c>
      <c r="I36" s="16">
        <v>0</v>
      </c>
      <c r="J36" s="8" t="s">
        <v>78</v>
      </c>
      <c r="L36" s="18"/>
      <c r="O36" s="11"/>
      <c r="P36" s="11"/>
    </row>
    <row r="37" spans="2:17" ht="20.149999999999999" customHeight="1">
      <c r="B37" s="97">
        <v>45627</v>
      </c>
      <c r="C37" s="6">
        <v>45658</v>
      </c>
      <c r="D37" s="32" t="s">
        <v>75</v>
      </c>
      <c r="E37" s="89">
        <v>601.21400000000006</v>
      </c>
      <c r="F37" s="14">
        <v>0.5</v>
      </c>
      <c r="G37" s="34">
        <v>2335.08</v>
      </c>
      <c r="H37" s="16">
        <v>266.18</v>
      </c>
      <c r="I37" s="16">
        <v>0</v>
      </c>
      <c r="J37" s="98">
        <f t="shared" si="6"/>
        <v>621925.81999999995</v>
      </c>
      <c r="L37" s="18"/>
      <c r="O37" s="11"/>
      <c r="P37" s="11"/>
    </row>
    <row r="38" spans="2:17" ht="20.149999999999999" customHeight="1">
      <c r="B38" s="97">
        <v>45658</v>
      </c>
      <c r="C38" s="6">
        <v>45689</v>
      </c>
      <c r="D38" s="32" t="s">
        <v>75</v>
      </c>
      <c r="E38" s="89">
        <v>555.60599999999999</v>
      </c>
      <c r="F38" s="14">
        <v>0.5</v>
      </c>
      <c r="G38" s="34">
        <v>2335.08</v>
      </c>
      <c r="H38" s="16">
        <v>266.18</v>
      </c>
      <c r="I38" s="16">
        <v>0</v>
      </c>
      <c r="J38" s="98">
        <f t="shared" ref="J38" si="7">ROUND(E38*F38*(G38-H38-I38),2)</f>
        <v>574746.63</v>
      </c>
      <c r="L38" s="18"/>
      <c r="O38" s="11"/>
      <c r="P38" s="11"/>
    </row>
    <row r="39" spans="2:17" ht="20.149999999999999" customHeight="1">
      <c r="B39" s="97">
        <v>45689</v>
      </c>
      <c r="C39" s="6">
        <v>45717</v>
      </c>
      <c r="D39" s="32" t="s">
        <v>75</v>
      </c>
      <c r="E39" s="89">
        <v>560.47900000000004</v>
      </c>
      <c r="F39" s="14">
        <v>0.5</v>
      </c>
      <c r="G39" s="34">
        <v>2335.08</v>
      </c>
      <c r="H39" s="16">
        <v>266.18</v>
      </c>
      <c r="I39" s="16">
        <v>0</v>
      </c>
      <c r="J39" s="98">
        <f t="shared" ref="J39" si="8">ROUND(E39*F39*(G39-H39-I39),2)</f>
        <v>579787.5</v>
      </c>
      <c r="L39" s="18"/>
      <c r="O39" s="11"/>
      <c r="P39" s="11"/>
    </row>
    <row r="40" spans="2:17" ht="20.149999999999999" customHeight="1">
      <c r="B40" s="97">
        <v>45717</v>
      </c>
      <c r="C40" s="6">
        <v>45748</v>
      </c>
      <c r="D40" s="32" t="s">
        <v>75</v>
      </c>
      <c r="E40" s="89">
        <v>610.74400000000003</v>
      </c>
      <c r="F40" s="14">
        <v>0.5</v>
      </c>
      <c r="G40" s="34">
        <v>2335.08</v>
      </c>
      <c r="H40" s="16">
        <v>266.18</v>
      </c>
      <c r="I40" s="16">
        <v>0</v>
      </c>
      <c r="J40" s="98">
        <f t="shared" ref="J40:J43" si="9">ROUND(E40*F40*(G40-H40-I40),2)</f>
        <v>631784.13</v>
      </c>
      <c r="L40" s="18"/>
      <c r="O40" s="11"/>
      <c r="P40" s="11"/>
    </row>
    <row r="41" spans="2:17" ht="20.149999999999999" customHeight="1">
      <c r="B41" s="97">
        <v>45748</v>
      </c>
      <c r="C41" s="6">
        <v>45778</v>
      </c>
      <c r="D41" s="32" t="s">
        <v>75</v>
      </c>
      <c r="E41" s="89">
        <v>574.18799999999999</v>
      </c>
      <c r="F41" s="14">
        <v>0.5</v>
      </c>
      <c r="G41" s="34">
        <v>2335.08</v>
      </c>
      <c r="H41" s="16">
        <v>266.18</v>
      </c>
      <c r="I41" s="16">
        <v>0</v>
      </c>
      <c r="J41" s="98">
        <f t="shared" si="9"/>
        <v>593968.78</v>
      </c>
      <c r="L41" s="18"/>
      <c r="O41" s="11"/>
      <c r="P41" s="11"/>
    </row>
    <row r="42" spans="2:17" ht="20.149999999999999" customHeight="1">
      <c r="B42" s="97">
        <v>45778</v>
      </c>
      <c r="C42" s="6">
        <v>45809</v>
      </c>
      <c r="D42" s="32" t="s">
        <v>75</v>
      </c>
      <c r="E42" s="89">
        <v>546.63</v>
      </c>
      <c r="F42" s="14">
        <v>0.5</v>
      </c>
      <c r="G42" s="34">
        <v>2335.08</v>
      </c>
      <c r="H42" s="16">
        <v>266.18</v>
      </c>
      <c r="I42" s="16">
        <v>0</v>
      </c>
      <c r="J42" s="98">
        <f t="shared" si="9"/>
        <v>565461.4</v>
      </c>
      <c r="L42" s="18"/>
      <c r="O42" s="11"/>
      <c r="P42" s="11"/>
    </row>
    <row r="43" spans="2:17" ht="20.149999999999999" customHeight="1">
      <c r="B43" s="97">
        <v>45809</v>
      </c>
      <c r="C43" s="6">
        <v>45839</v>
      </c>
      <c r="D43" s="32" t="s">
        <v>75</v>
      </c>
      <c r="E43" s="89">
        <v>561</v>
      </c>
      <c r="F43" s="14">
        <v>0.5</v>
      </c>
      <c r="G43" s="34">
        <v>2335.08</v>
      </c>
      <c r="H43" s="16">
        <v>266.18</v>
      </c>
      <c r="I43" s="16">
        <v>0</v>
      </c>
      <c r="J43" s="98">
        <f t="shared" si="9"/>
        <v>580326.44999999995</v>
      </c>
      <c r="L43" s="18"/>
      <c r="O43" s="11"/>
      <c r="P43" s="11"/>
    </row>
    <row r="44" spans="2:17" ht="20.149999999999999" customHeight="1">
      <c r="B44" s="20"/>
      <c r="C44" s="21"/>
      <c r="D44" s="21"/>
      <c r="E44" s="21"/>
      <c r="F44" s="21"/>
      <c r="G44" s="21"/>
      <c r="H44" s="22"/>
      <c r="I44" s="22"/>
      <c r="J44" s="23"/>
      <c r="K44" s="24"/>
      <c r="L44" s="24"/>
      <c r="O44" s="25"/>
    </row>
    <row r="45" spans="2:17">
      <c r="B45" s="1" t="s">
        <v>71</v>
      </c>
      <c r="O45" s="9"/>
      <c r="Q45" s="24"/>
    </row>
    <row r="46" spans="2:17" ht="19.5" customHeight="1">
      <c r="B46" s="35"/>
      <c r="C46" s="83"/>
      <c r="J46" s="26"/>
      <c r="N46" s="24"/>
      <c r="P46" s="11"/>
    </row>
    <row r="47" spans="2:17" ht="19.5" customHeight="1">
      <c r="C47" s="84"/>
      <c r="D47" s="101" t="s">
        <v>45</v>
      </c>
      <c r="E47" s="101"/>
      <c r="H47" s="26"/>
      <c r="I47" s="26"/>
      <c r="N47" s="24"/>
      <c r="P47" s="11"/>
    </row>
    <row r="48" spans="2:17" ht="19.5" customHeight="1">
      <c r="C48" s="85">
        <v>43405</v>
      </c>
      <c r="D48" s="14" t="s">
        <v>4</v>
      </c>
      <c r="E48" s="36">
        <v>57794874.380000003</v>
      </c>
      <c r="F48" s="37"/>
      <c r="H48" s="27"/>
      <c r="I48" s="27"/>
      <c r="J48" s="26"/>
      <c r="O48" s="11"/>
      <c r="P48" s="11"/>
    </row>
    <row r="49" spans="3:16" ht="19.5" customHeight="1">
      <c r="C49" s="85">
        <v>45108</v>
      </c>
      <c r="D49" s="76" t="s">
        <v>5</v>
      </c>
      <c r="E49" s="87">
        <f>SUMIF($B$9:$B$44,"&lt;="&amp;C49,$J$9:$J$44)</f>
        <v>7383351.1800000016</v>
      </c>
      <c r="J49" s="26"/>
      <c r="O49" s="11"/>
      <c r="P49" s="11"/>
    </row>
    <row r="50" spans="3:16" ht="19.5" customHeight="1">
      <c r="D50" s="14" t="s">
        <v>6</v>
      </c>
      <c r="E50" s="36">
        <f>E48-E49</f>
        <v>50411523.200000003</v>
      </c>
      <c r="J50" s="26"/>
      <c r="O50" s="11"/>
      <c r="P50" s="11"/>
    </row>
    <row r="51" spans="3:16" ht="19.5" customHeight="1">
      <c r="C51" s="85"/>
      <c r="D51" s="14"/>
      <c r="E51" s="38"/>
      <c r="G51" s="26"/>
      <c r="J51" s="26"/>
      <c r="O51" s="11"/>
      <c r="P51" s="11"/>
    </row>
    <row r="52" spans="3:16" ht="19.5" customHeight="1">
      <c r="C52" s="86"/>
      <c r="D52" s="14" t="s">
        <v>7</v>
      </c>
      <c r="E52" s="38">
        <f>ROUND(VLOOKUP(YEAR($C49),IPCA!$B$4:$N$16,MONTH($C49)+1,0)/VLOOKUP(YEAR($C48),IPCA!$B$4:$N$16,MONTH($C48)+1,0)*E50,2)</f>
        <v>66000980.18</v>
      </c>
      <c r="F52" s="26"/>
      <c r="J52" s="26"/>
      <c r="O52" s="11"/>
      <c r="P52" s="11"/>
    </row>
    <row r="53" spans="3:16" ht="19.5" customHeight="1">
      <c r="C53" s="85">
        <v>45474</v>
      </c>
      <c r="D53" s="76" t="s">
        <v>8</v>
      </c>
      <c r="E53" s="87">
        <f>SUMIF($B$9:$B$44,"&lt;="&amp;C53,$J$9:$J$44)-SUMIF($B$9:$B$44,"&lt;="&amp;C49,$J$9:$J$44)</f>
        <v>8653290.339999998</v>
      </c>
      <c r="J53" s="26"/>
      <c r="O53" s="11"/>
      <c r="P53" s="11"/>
    </row>
    <row r="54" spans="3:16" ht="19.5" customHeight="1">
      <c r="C54" s="86"/>
      <c r="D54" s="14" t="s">
        <v>6</v>
      </c>
      <c r="E54" s="38">
        <f>E52-E53</f>
        <v>57347689.840000004</v>
      </c>
      <c r="J54" s="26"/>
      <c r="O54" s="11"/>
      <c r="P54" s="11"/>
    </row>
    <row r="55" spans="3:16" ht="19.5" customHeight="1">
      <c r="C55" s="86"/>
      <c r="D55" s="94"/>
      <c r="E55" s="95"/>
      <c r="J55" s="26"/>
      <c r="O55" s="11"/>
      <c r="P55" s="11"/>
    </row>
    <row r="56" spans="3:16" ht="19.5" customHeight="1">
      <c r="C56" s="86"/>
      <c r="D56" s="14" t="s">
        <v>7</v>
      </c>
      <c r="E56" s="38">
        <f>ROUND(VLOOKUP(YEAR($C53),IPCA!$B$4:$N$17,MONTH($C53)+1,0)/VLOOKUP(YEAR($C49),IPCA!$B$4:$N$17,MONTH($C49)+1,0)*E54,2)</f>
        <v>59927413.049999997</v>
      </c>
      <c r="J56" s="26"/>
      <c r="O56" s="11"/>
      <c r="P56" s="11"/>
    </row>
    <row r="57" spans="3:16" ht="19.5" customHeight="1">
      <c r="C57" s="85">
        <v>45839</v>
      </c>
      <c r="D57" s="76" t="s">
        <v>9</v>
      </c>
      <c r="E57" s="87">
        <f>SUMIF($B$9:$B$44,"&lt;="&amp;C57,$J$9:$J$44)-SUMIF($B$9:$B$44,"&lt;="&amp;C53,$J$9:$J$44)</f>
        <v>6167449.4699999988</v>
      </c>
      <c r="J57" s="26"/>
      <c r="O57" s="11"/>
      <c r="P57" s="11"/>
    </row>
    <row r="58" spans="3:16">
      <c r="C58" s="86"/>
      <c r="D58" s="14" t="s">
        <v>6</v>
      </c>
      <c r="E58" s="38">
        <f>E56-E57</f>
        <v>53759963.579999998</v>
      </c>
    </row>
    <row r="1056" s="11" customFormat="1"/>
    <row r="1057" spans="3:16">
      <c r="C1057" s="29"/>
      <c r="O1057" s="11"/>
      <c r="P1057" s="11"/>
    </row>
    <row r="1058" spans="3:16">
      <c r="C1058" s="29"/>
      <c r="O1058" s="11"/>
      <c r="P1058" s="11"/>
    </row>
    <row r="1059" spans="3:16">
      <c r="C1059" s="29"/>
      <c r="O1059" s="11"/>
      <c r="P1059" s="11"/>
    </row>
    <row r="1060" spans="3:16">
      <c r="C1060" s="29"/>
      <c r="O1060" s="11"/>
      <c r="P1060" s="11"/>
    </row>
    <row r="1061" spans="3:16">
      <c r="C1061" s="29"/>
      <c r="O1061" s="11"/>
      <c r="P1061" s="11"/>
    </row>
    <row r="1062" spans="3:16">
      <c r="C1062" s="29"/>
      <c r="O1062" s="11"/>
      <c r="P1062" s="11"/>
    </row>
    <row r="1063" spans="3:16">
      <c r="C1063" s="29"/>
      <c r="O1063" s="11"/>
      <c r="P1063" s="11"/>
    </row>
    <row r="1064" spans="3:16">
      <c r="C1064" s="29"/>
      <c r="O1064" s="11"/>
      <c r="P1064" s="11"/>
    </row>
    <row r="1065" spans="3:16">
      <c r="C1065" s="29"/>
    </row>
  </sheetData>
  <mergeCells count="1">
    <mergeCell ref="D47:E47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1061"/>
  <sheetViews>
    <sheetView showGridLines="0" zoomScale="80" zoomScaleNormal="80" workbookViewId="0">
      <pane xSplit="3" ySplit="8" topLeftCell="D34" activePane="bottomRight" state="frozen"/>
      <selection activeCell="D3" sqref="D3"/>
      <selection pane="topRight" activeCell="D3" sqref="D3"/>
      <selection pane="bottomLeft" activeCell="D3" sqref="D3"/>
      <selection pane="bottomRight" activeCell="D60" sqref="D60"/>
    </sheetView>
  </sheetViews>
  <sheetFormatPr defaultColWidth="9.1796875" defaultRowHeight="14.5"/>
  <cols>
    <col min="1" max="1" width="3.7265625" style="11" customWidth="1"/>
    <col min="2" max="2" width="16.7265625" style="11" customWidth="1"/>
    <col min="3" max="3" width="30.7265625" style="11" customWidth="1"/>
    <col min="4" max="4" width="63.453125" style="11" customWidth="1"/>
    <col min="5" max="9" width="24.7265625" style="11" customWidth="1"/>
    <col min="10" max="10" width="13.81640625" style="18" bestFit="1" customWidth="1"/>
    <col min="11" max="11" width="16.7265625" style="11" bestFit="1" customWidth="1"/>
    <col min="12" max="12" width="21.54296875" style="11" bestFit="1" customWidth="1"/>
    <col min="13" max="13" width="15.453125" style="11" bestFit="1" customWidth="1"/>
    <col min="14" max="15" width="20.7265625" style="24" customWidth="1"/>
    <col min="16" max="16384" width="9.1796875" style="11"/>
  </cols>
  <sheetData>
    <row r="1" spans="2:15" s="1" customFormat="1"/>
    <row r="2" spans="2:15" s="1" customFormat="1" ht="24">
      <c r="D2" s="4" t="s">
        <v>40</v>
      </c>
      <c r="H2" s="2"/>
    </row>
    <row r="3" spans="2:15" s="1" customFormat="1" ht="24">
      <c r="D3" s="4" t="s">
        <v>35</v>
      </c>
      <c r="H3" s="2"/>
    </row>
    <row r="4" spans="2:15" ht="16">
      <c r="B4" s="60"/>
      <c r="C4" s="58"/>
      <c r="E4" s="10"/>
      <c r="F4" s="49"/>
      <c r="G4" s="10"/>
      <c r="H4" s="10"/>
      <c r="I4" s="10"/>
      <c r="J4" s="10"/>
      <c r="K4" s="10"/>
      <c r="L4" s="10"/>
      <c r="M4" s="10"/>
      <c r="N4" s="9"/>
      <c r="O4" s="11"/>
    </row>
    <row r="5" spans="2:15" ht="16">
      <c r="B5" s="60" t="s">
        <v>60</v>
      </c>
      <c r="D5" s="60" t="s">
        <v>67</v>
      </c>
      <c r="E5" s="10"/>
      <c r="F5" s="49"/>
      <c r="G5" s="10"/>
      <c r="H5" s="10"/>
      <c r="I5" s="10"/>
      <c r="J5" s="10"/>
      <c r="K5" s="10"/>
      <c r="L5" s="10"/>
      <c r="M5" s="10"/>
      <c r="N5" s="9"/>
      <c r="O5" s="11"/>
    </row>
    <row r="6" spans="2:15" ht="16">
      <c r="B6" s="60" t="s">
        <v>61</v>
      </c>
      <c r="D6" s="60" t="s">
        <v>68</v>
      </c>
      <c r="E6" s="10"/>
      <c r="F6" s="49"/>
      <c r="G6" s="10"/>
      <c r="H6" s="10"/>
      <c r="I6" s="10"/>
      <c r="J6" s="10"/>
      <c r="K6" s="10"/>
      <c r="L6" s="10"/>
      <c r="M6" s="10"/>
      <c r="N6" s="9"/>
      <c r="O6" s="11"/>
    </row>
    <row r="7" spans="2:15" ht="16">
      <c r="B7" s="60"/>
      <c r="C7" s="58"/>
      <c r="E7" s="10"/>
      <c r="F7" s="49"/>
      <c r="G7" s="10"/>
      <c r="H7" s="10"/>
      <c r="I7" s="10"/>
      <c r="J7" s="10"/>
      <c r="K7" s="10"/>
      <c r="L7" s="10"/>
      <c r="M7" s="10"/>
      <c r="N7" s="9"/>
      <c r="O7" s="11"/>
    </row>
    <row r="8" spans="2:15" s="9" customFormat="1" ht="30">
      <c r="B8" s="30" t="s">
        <v>34</v>
      </c>
      <c r="C8" s="30" t="s">
        <v>52</v>
      </c>
      <c r="D8" s="30" t="s">
        <v>53</v>
      </c>
      <c r="E8" s="59" t="s">
        <v>54</v>
      </c>
      <c r="F8" s="59" t="s">
        <v>55</v>
      </c>
      <c r="G8" s="59" t="s">
        <v>57</v>
      </c>
      <c r="H8" s="59" t="s">
        <v>56</v>
      </c>
      <c r="I8" s="59" t="s">
        <v>59</v>
      </c>
      <c r="J8" s="12"/>
      <c r="K8" s="13"/>
    </row>
    <row r="9" spans="2:15" ht="20.149999999999999" customHeight="1">
      <c r="B9" s="6">
        <v>42705</v>
      </c>
      <c r="C9" s="6">
        <v>42767</v>
      </c>
      <c r="D9" s="14" t="s">
        <v>1</v>
      </c>
      <c r="E9" s="15">
        <f>149320.955/1000</f>
        <v>149.320955</v>
      </c>
      <c r="F9" s="14">
        <v>0.5</v>
      </c>
      <c r="G9" s="16">
        <v>1369.9065000000001</v>
      </c>
      <c r="H9" s="16">
        <v>199.55</v>
      </c>
      <c r="I9" s="7">
        <f t="shared" ref="I9:I36" si="0">E9*F9*(G9-H9)</f>
        <v>87379.375135228751</v>
      </c>
      <c r="J9" s="17"/>
      <c r="K9" s="18"/>
      <c r="L9" s="18"/>
      <c r="N9" s="11"/>
      <c r="O9" s="11"/>
    </row>
    <row r="10" spans="2:15" ht="20.149999999999999" customHeight="1">
      <c r="B10" s="6">
        <v>42736</v>
      </c>
      <c r="C10" s="6">
        <v>42795</v>
      </c>
      <c r="D10" s="14" t="s">
        <v>1</v>
      </c>
      <c r="E10" s="15">
        <f>227639.934/1000</f>
        <v>227.63993400000001</v>
      </c>
      <c r="F10" s="14">
        <v>0.5</v>
      </c>
      <c r="G10" s="16">
        <v>1369.9065000000001</v>
      </c>
      <c r="H10" s="16">
        <v>199.55</v>
      </c>
      <c r="I10" s="7">
        <f t="shared" si="0"/>
        <v>133209.93820823552</v>
      </c>
      <c r="J10" s="17"/>
      <c r="K10" s="18"/>
      <c r="L10" s="18"/>
      <c r="N10" s="11"/>
      <c r="O10" s="11"/>
    </row>
    <row r="11" spans="2:15" ht="20.149999999999999" customHeight="1">
      <c r="B11" s="6">
        <v>42767</v>
      </c>
      <c r="C11" s="6">
        <v>42826</v>
      </c>
      <c r="D11" s="14" t="s">
        <v>1</v>
      </c>
      <c r="E11" s="15">
        <f>201051.965/1000</f>
        <v>201.051965</v>
      </c>
      <c r="F11" s="14">
        <v>0.5</v>
      </c>
      <c r="G11" s="16">
        <v>1369.9065000000001</v>
      </c>
      <c r="H11" s="16">
        <v>199.55</v>
      </c>
      <c r="I11" s="7">
        <f t="shared" si="0"/>
        <v>117651.23703776125</v>
      </c>
      <c r="J11" s="17"/>
      <c r="K11" s="18"/>
      <c r="L11" s="18"/>
      <c r="N11" s="11"/>
      <c r="O11" s="11"/>
    </row>
    <row r="12" spans="2:15" ht="20.149999999999999" customHeight="1">
      <c r="B12" s="6">
        <v>42795</v>
      </c>
      <c r="C12" s="6">
        <v>42856</v>
      </c>
      <c r="D12" s="14" t="s">
        <v>1</v>
      </c>
      <c r="E12" s="15">
        <f>239718/1000</f>
        <v>239.71799999999999</v>
      </c>
      <c r="F12" s="14">
        <v>0.5</v>
      </c>
      <c r="G12" s="16">
        <v>1369.9065000000001</v>
      </c>
      <c r="H12" s="16">
        <v>199.55</v>
      </c>
      <c r="I12" s="7">
        <f t="shared" si="0"/>
        <v>140277.75973350002</v>
      </c>
      <c r="J12" s="17"/>
      <c r="K12" s="18"/>
      <c r="L12" s="18"/>
      <c r="N12" s="11"/>
      <c r="O12" s="11"/>
    </row>
    <row r="13" spans="2:15" ht="20.149999999999999" customHeight="1">
      <c r="B13" s="6">
        <v>42826</v>
      </c>
      <c r="C13" s="6">
        <v>42887</v>
      </c>
      <c r="D13" s="14" t="s">
        <v>1</v>
      </c>
      <c r="E13" s="15">
        <f>231037.81/1000</f>
        <v>231.03781000000001</v>
      </c>
      <c r="F13" s="14">
        <v>0.5</v>
      </c>
      <c r="G13" s="16">
        <v>1369.9065000000001</v>
      </c>
      <c r="H13" s="16">
        <v>199.55</v>
      </c>
      <c r="I13" s="7">
        <f t="shared" si="0"/>
        <v>135198.30133963251</v>
      </c>
      <c r="J13" s="17"/>
      <c r="K13" s="18"/>
      <c r="L13" s="18"/>
      <c r="N13" s="11"/>
      <c r="O13" s="11"/>
    </row>
    <row r="14" spans="2:15" ht="20.149999999999999" customHeight="1">
      <c r="B14" s="6">
        <v>42856</v>
      </c>
      <c r="C14" s="6">
        <v>42917</v>
      </c>
      <c r="D14" s="14" t="s">
        <v>1</v>
      </c>
      <c r="E14" s="15">
        <f>253688.446/1000</f>
        <v>253.688446</v>
      </c>
      <c r="F14" s="14">
        <v>0.5</v>
      </c>
      <c r="G14" s="16">
        <v>1369.9065000000001</v>
      </c>
      <c r="H14" s="16">
        <v>199.55</v>
      </c>
      <c r="I14" s="7">
        <f t="shared" si="0"/>
        <v>148452.9608754995</v>
      </c>
      <c r="J14" s="17"/>
      <c r="K14" s="18"/>
      <c r="L14" s="18"/>
      <c r="N14" s="11"/>
      <c r="O14" s="11"/>
    </row>
    <row r="15" spans="2:15" ht="20.149999999999999" customHeight="1">
      <c r="B15" s="6">
        <v>42887</v>
      </c>
      <c r="C15" s="6">
        <v>42948</v>
      </c>
      <c r="D15" s="14" t="s">
        <v>1</v>
      </c>
      <c r="E15" s="15">
        <f>222676.964/1000</f>
        <v>222.676964</v>
      </c>
      <c r="F15" s="14">
        <v>0.5</v>
      </c>
      <c r="G15" s="16">
        <v>1369.9065000000001</v>
      </c>
      <c r="H15" s="16">
        <v>199.55</v>
      </c>
      <c r="I15" s="7">
        <f t="shared" si="0"/>
        <v>130305.716108833</v>
      </c>
      <c r="J15" s="17"/>
      <c r="K15" s="18"/>
      <c r="L15" s="18"/>
      <c r="N15" s="11"/>
      <c r="O15" s="11"/>
    </row>
    <row r="16" spans="2:15" ht="20.149999999999999" customHeight="1">
      <c r="B16" s="6">
        <v>42917</v>
      </c>
      <c r="C16" s="6">
        <v>42979</v>
      </c>
      <c r="D16" s="14" t="s">
        <v>1</v>
      </c>
      <c r="E16" s="15">
        <f>231797.216/1000</f>
        <v>231.79721599999999</v>
      </c>
      <c r="F16" s="14">
        <v>0.5</v>
      </c>
      <c r="G16" s="16">
        <v>1369.9065000000001</v>
      </c>
      <c r="H16" s="16">
        <v>199.55</v>
      </c>
      <c r="I16" s="7">
        <f t="shared" si="0"/>
        <v>135642.68921375202</v>
      </c>
      <c r="J16" s="17"/>
      <c r="K16" s="18"/>
      <c r="L16" s="18"/>
      <c r="N16" s="11"/>
      <c r="O16" s="11"/>
    </row>
    <row r="17" spans="2:15" ht="20.149999999999999" customHeight="1">
      <c r="B17" s="6">
        <v>42948</v>
      </c>
      <c r="C17" s="6">
        <v>43009</v>
      </c>
      <c r="D17" s="14" t="s">
        <v>1</v>
      </c>
      <c r="E17" s="15">
        <f>270528.855/1000</f>
        <v>270.52885499999996</v>
      </c>
      <c r="F17" s="14">
        <v>0.5</v>
      </c>
      <c r="G17" s="16">
        <v>1369.9065000000001</v>
      </c>
      <c r="H17" s="16">
        <v>199.55</v>
      </c>
      <c r="I17" s="7">
        <f t="shared" si="0"/>
        <v>158307.60194340374</v>
      </c>
      <c r="J17" s="17"/>
      <c r="K17" s="18"/>
      <c r="L17" s="18"/>
      <c r="N17" s="11"/>
      <c r="O17" s="11"/>
    </row>
    <row r="18" spans="2:15" ht="20.149999999999999" customHeight="1">
      <c r="B18" s="6">
        <v>42979</v>
      </c>
      <c r="C18" s="6">
        <v>43040</v>
      </c>
      <c r="D18" s="14" t="s">
        <v>1</v>
      </c>
      <c r="E18" s="15">
        <v>272.41849000000002</v>
      </c>
      <c r="F18" s="14">
        <v>0.5</v>
      </c>
      <c r="G18" s="16">
        <v>1369.9065000000001</v>
      </c>
      <c r="H18" s="16">
        <v>199.55</v>
      </c>
      <c r="I18" s="7">
        <f t="shared" si="0"/>
        <v>159413.37524584253</v>
      </c>
      <c r="J18" s="17"/>
      <c r="K18" s="18"/>
      <c r="L18" s="18"/>
      <c r="N18" s="11"/>
      <c r="O18" s="11"/>
    </row>
    <row r="19" spans="2:15" ht="20.149999999999999" customHeight="1">
      <c r="B19" s="6">
        <v>43009</v>
      </c>
      <c r="C19" s="6">
        <v>43070</v>
      </c>
      <c r="D19" s="14" t="s">
        <v>1</v>
      </c>
      <c r="E19" s="15">
        <v>258.51897300000002</v>
      </c>
      <c r="F19" s="14">
        <v>0.5</v>
      </c>
      <c r="G19" s="16">
        <v>1369.9065000000001</v>
      </c>
      <c r="H19" s="16">
        <v>199.55</v>
      </c>
      <c r="I19" s="7">
        <f t="shared" si="0"/>
        <v>151279.68021193726</v>
      </c>
      <c r="J19" s="17"/>
      <c r="K19" s="18"/>
      <c r="L19" s="18"/>
      <c r="N19" s="11"/>
      <c r="O19" s="11"/>
    </row>
    <row r="20" spans="2:15" ht="20.149999999999999" customHeight="1">
      <c r="B20" s="6">
        <v>43040</v>
      </c>
      <c r="C20" s="6">
        <v>43115</v>
      </c>
      <c r="D20" s="14" t="s">
        <v>1</v>
      </c>
      <c r="E20" s="15">
        <v>248.76642000000001</v>
      </c>
      <c r="F20" s="14">
        <v>0.5</v>
      </c>
      <c r="G20" s="16">
        <v>1369.9065000000001</v>
      </c>
      <c r="H20" s="16">
        <v>199.55</v>
      </c>
      <c r="I20" s="7">
        <f t="shared" si="0"/>
        <v>145572.69831436503</v>
      </c>
      <c r="J20" s="17"/>
      <c r="K20" s="18"/>
      <c r="L20" s="18"/>
      <c r="N20" s="11"/>
      <c r="O20" s="11"/>
    </row>
    <row r="21" spans="2:15" ht="20.149999999999999" customHeight="1">
      <c r="B21" s="6">
        <v>43070</v>
      </c>
      <c r="C21" s="6">
        <v>43146</v>
      </c>
      <c r="D21" s="14" t="s">
        <v>1</v>
      </c>
      <c r="E21" s="15">
        <v>245.65170800000001</v>
      </c>
      <c r="F21" s="14">
        <v>0.5</v>
      </c>
      <c r="G21" s="16">
        <v>1369.9065000000001</v>
      </c>
      <c r="H21" s="16">
        <v>199.55</v>
      </c>
      <c r="I21" s="7">
        <f t="shared" si="0"/>
        <v>143750.03659695102</v>
      </c>
      <c r="J21" s="17"/>
      <c r="K21" s="18"/>
      <c r="L21" s="18"/>
      <c r="N21" s="11"/>
      <c r="O21" s="11"/>
    </row>
    <row r="22" spans="2:15" ht="20.149999999999999" customHeight="1">
      <c r="B22" s="6">
        <v>43101</v>
      </c>
      <c r="C22" s="6">
        <v>43174</v>
      </c>
      <c r="D22" s="14" t="s">
        <v>1</v>
      </c>
      <c r="E22" s="15">
        <v>250.77500000000001</v>
      </c>
      <c r="F22" s="14">
        <v>0.5</v>
      </c>
      <c r="G22" s="16">
        <v>1369.9065000000001</v>
      </c>
      <c r="H22" s="16">
        <v>199.55</v>
      </c>
      <c r="I22" s="7">
        <f t="shared" si="0"/>
        <v>146748.07564375002</v>
      </c>
      <c r="J22" s="17"/>
      <c r="K22" s="18"/>
      <c r="L22" s="18"/>
      <c r="N22" s="11"/>
      <c r="O22" s="11"/>
    </row>
    <row r="23" spans="2:15" ht="20.149999999999999" customHeight="1">
      <c r="B23" s="6">
        <v>43132</v>
      </c>
      <c r="C23" s="6">
        <v>43205</v>
      </c>
      <c r="D23" s="14" t="s">
        <v>1</v>
      </c>
      <c r="E23" s="15">
        <v>226.233</v>
      </c>
      <c r="F23" s="14">
        <v>0.5</v>
      </c>
      <c r="G23" s="16">
        <v>1369.9065000000001</v>
      </c>
      <c r="H23" s="16">
        <v>199.55</v>
      </c>
      <c r="I23" s="7">
        <f t="shared" si="0"/>
        <v>132386.63103225001</v>
      </c>
      <c r="J23" s="17"/>
      <c r="K23" s="18"/>
      <c r="L23" s="18"/>
      <c r="N23" s="11"/>
      <c r="O23" s="11"/>
    </row>
    <row r="24" spans="2:15" ht="20.149999999999999" customHeight="1">
      <c r="B24" s="6">
        <v>43160</v>
      </c>
      <c r="C24" s="6">
        <v>43235</v>
      </c>
      <c r="D24" s="14" t="s">
        <v>1</v>
      </c>
      <c r="E24" s="15">
        <v>261.28142300000002</v>
      </c>
      <c r="F24" s="14">
        <v>0.5</v>
      </c>
      <c r="G24" s="16">
        <v>1369.9065000000001</v>
      </c>
      <c r="H24" s="16">
        <v>199.55</v>
      </c>
      <c r="I24" s="7">
        <f t="shared" si="0"/>
        <v>152896.20586864976</v>
      </c>
      <c r="J24" s="17"/>
      <c r="K24" s="18"/>
      <c r="L24" s="18"/>
      <c r="N24" s="11"/>
      <c r="O24" s="11"/>
    </row>
    <row r="25" spans="2:15" ht="20.149999999999999" customHeight="1">
      <c r="B25" s="6">
        <v>43191</v>
      </c>
      <c r="C25" s="6">
        <v>43266</v>
      </c>
      <c r="D25" s="14" t="s">
        <v>1</v>
      </c>
      <c r="E25" s="15">
        <v>251.52799999999999</v>
      </c>
      <c r="F25" s="14">
        <v>0.5</v>
      </c>
      <c r="G25" s="16">
        <v>1369.9065000000001</v>
      </c>
      <c r="H25" s="16">
        <v>199.55</v>
      </c>
      <c r="I25" s="7">
        <f t="shared" si="0"/>
        <v>147188.71486599999</v>
      </c>
      <c r="J25" s="17"/>
      <c r="K25" s="18"/>
      <c r="L25" s="18"/>
      <c r="N25" s="11"/>
      <c r="O25" s="11"/>
    </row>
    <row r="26" spans="2:15" ht="20.149999999999999" customHeight="1">
      <c r="B26" s="6">
        <v>43221</v>
      </c>
      <c r="C26" s="6">
        <v>43283</v>
      </c>
      <c r="D26" s="14" t="s">
        <v>1</v>
      </c>
      <c r="E26" s="15">
        <v>259.7835</v>
      </c>
      <c r="F26" s="14">
        <v>0.5</v>
      </c>
      <c r="G26" s="16">
        <v>1369.9065000000001</v>
      </c>
      <c r="H26" s="16">
        <v>199.55</v>
      </c>
      <c r="I26" s="7">
        <f t="shared" si="0"/>
        <v>152019.65390887501</v>
      </c>
      <c r="J26" s="17"/>
      <c r="K26" s="18"/>
      <c r="L26" s="18"/>
      <c r="N26" s="11"/>
      <c r="O26" s="11"/>
    </row>
    <row r="27" spans="2:15" ht="20.149999999999999" customHeight="1">
      <c r="B27" s="6">
        <v>43252</v>
      </c>
      <c r="C27" s="6">
        <v>43283</v>
      </c>
      <c r="D27" s="14" t="s">
        <v>1</v>
      </c>
      <c r="E27" s="15">
        <v>226.59200000000001</v>
      </c>
      <c r="F27" s="14">
        <v>0.5</v>
      </c>
      <c r="G27" s="16">
        <v>1369.9065000000001</v>
      </c>
      <c r="H27" s="16">
        <v>199.55</v>
      </c>
      <c r="I27" s="7">
        <f t="shared" si="0"/>
        <v>132596.71002400003</v>
      </c>
      <c r="J27" s="17"/>
      <c r="K27" s="18"/>
      <c r="L27" s="18"/>
      <c r="N27" s="11"/>
      <c r="O27" s="11"/>
    </row>
    <row r="28" spans="2:15" ht="20.149999999999999" customHeight="1">
      <c r="B28" s="6">
        <v>43283</v>
      </c>
      <c r="C28" s="6">
        <v>43342</v>
      </c>
      <c r="D28" s="14" t="s">
        <v>1</v>
      </c>
      <c r="E28" s="15">
        <v>255.357091</v>
      </c>
      <c r="F28" s="14">
        <v>0.5</v>
      </c>
      <c r="G28" s="16">
        <v>1369.9065000000001</v>
      </c>
      <c r="H28" s="16">
        <v>199.55</v>
      </c>
      <c r="I28" s="7">
        <f t="shared" si="0"/>
        <v>149429.41563647077</v>
      </c>
      <c r="J28" s="17"/>
      <c r="K28" s="18"/>
      <c r="L28" s="18"/>
      <c r="N28" s="11"/>
      <c r="O28" s="11"/>
    </row>
    <row r="29" spans="2:15" ht="20.149999999999999" customHeight="1">
      <c r="B29" s="6">
        <v>43342</v>
      </c>
      <c r="C29" s="6">
        <v>43344</v>
      </c>
      <c r="D29" s="14" t="s">
        <v>1</v>
      </c>
      <c r="E29" s="15">
        <v>284.78507200000001</v>
      </c>
      <c r="F29" s="14">
        <v>0.5</v>
      </c>
      <c r="G29" s="16">
        <v>1369.9065000000001</v>
      </c>
      <c r="H29" s="16">
        <v>199.55</v>
      </c>
      <c r="I29" s="7">
        <f t="shared" si="0"/>
        <v>166650.03005908403</v>
      </c>
      <c r="J29" s="17"/>
      <c r="K29" s="18"/>
      <c r="L29" s="18"/>
      <c r="N29" s="11"/>
      <c r="O29" s="11"/>
    </row>
    <row r="30" spans="2:15" ht="20.149999999999999" customHeight="1">
      <c r="B30" s="6">
        <v>43344</v>
      </c>
      <c r="C30" s="6">
        <v>43374</v>
      </c>
      <c r="D30" s="14" t="s">
        <v>1</v>
      </c>
      <c r="E30" s="15">
        <v>285.83775000000003</v>
      </c>
      <c r="F30" s="14">
        <v>0.5</v>
      </c>
      <c r="G30" s="16">
        <v>1369.9065000000001</v>
      </c>
      <c r="H30" s="16">
        <v>199.55</v>
      </c>
      <c r="I30" s="7">
        <f t="shared" si="0"/>
        <v>167266.03432893753</v>
      </c>
      <c r="J30" s="17"/>
      <c r="K30" s="18"/>
      <c r="L30" s="18"/>
      <c r="N30" s="11"/>
      <c r="O30" s="11"/>
    </row>
    <row r="31" spans="2:15" ht="20.149999999999999" customHeight="1">
      <c r="B31" s="6">
        <v>43374</v>
      </c>
      <c r="C31" s="6">
        <v>43405</v>
      </c>
      <c r="D31" s="14" t="s">
        <v>1</v>
      </c>
      <c r="E31" s="15">
        <v>293.58499999999998</v>
      </c>
      <c r="F31" s="14">
        <v>0.5</v>
      </c>
      <c r="G31" s="16">
        <v>1369.9065000000001</v>
      </c>
      <c r="H31" s="16">
        <v>199.55</v>
      </c>
      <c r="I31" s="7">
        <f t="shared" si="0"/>
        <v>171799.55652625</v>
      </c>
      <c r="J31" s="17"/>
      <c r="K31" s="18"/>
      <c r="L31" s="18"/>
      <c r="N31" s="11"/>
      <c r="O31" s="11"/>
    </row>
    <row r="32" spans="2:15" ht="20.149999999999999" customHeight="1">
      <c r="B32" s="6">
        <v>43405</v>
      </c>
      <c r="C32" s="6">
        <v>43435</v>
      </c>
      <c r="D32" s="14" t="s">
        <v>1</v>
      </c>
      <c r="E32" s="15">
        <v>272.00388699999996</v>
      </c>
      <c r="F32" s="14">
        <v>0.5</v>
      </c>
      <c r="G32" s="16">
        <v>1369.9065000000001</v>
      </c>
      <c r="H32" s="16">
        <v>199.55</v>
      </c>
      <c r="I32" s="7">
        <f t="shared" si="0"/>
        <v>159170.75858785774</v>
      </c>
      <c r="J32" s="17"/>
      <c r="K32" s="18"/>
      <c r="L32" s="18"/>
      <c r="N32" s="11"/>
      <c r="O32" s="11"/>
    </row>
    <row r="33" spans="2:15" ht="20.149999999999999" customHeight="1">
      <c r="B33" s="6">
        <v>43435</v>
      </c>
      <c r="C33" s="6">
        <v>43466</v>
      </c>
      <c r="D33" s="14" t="s">
        <v>1</v>
      </c>
      <c r="E33" s="15">
        <v>270.05103600000001</v>
      </c>
      <c r="F33" s="14">
        <v>0.5</v>
      </c>
      <c r="G33" s="16">
        <v>1369.9065000000001</v>
      </c>
      <c r="H33" s="16">
        <v>199.55</v>
      </c>
      <c r="I33" s="7">
        <f t="shared" si="0"/>
        <v>158027.99265716702</v>
      </c>
      <c r="J33" s="17"/>
      <c r="K33" s="18"/>
      <c r="L33" s="18"/>
      <c r="N33" s="11"/>
      <c r="O33" s="11"/>
    </row>
    <row r="34" spans="2:15" ht="20.149999999999999" customHeight="1">
      <c r="B34" s="6">
        <v>43466</v>
      </c>
      <c r="C34" s="6">
        <v>43497</v>
      </c>
      <c r="D34" s="14" t="s">
        <v>1</v>
      </c>
      <c r="E34" s="15">
        <v>279.63239299999998</v>
      </c>
      <c r="F34" s="14">
        <v>0.5</v>
      </c>
      <c r="G34" s="16">
        <v>1369.9065000000001</v>
      </c>
      <c r="H34" s="16">
        <v>199.55</v>
      </c>
      <c r="I34" s="7">
        <f t="shared" si="0"/>
        <v>163634.79437905224</v>
      </c>
      <c r="J34" s="17"/>
      <c r="K34" s="18"/>
      <c r="L34" s="18"/>
      <c r="N34" s="11"/>
      <c r="O34" s="11"/>
    </row>
    <row r="35" spans="2:15" ht="20.149999999999999" customHeight="1">
      <c r="B35" s="6">
        <v>43497</v>
      </c>
      <c r="C35" s="6">
        <v>43525</v>
      </c>
      <c r="D35" s="14" t="s">
        <v>1</v>
      </c>
      <c r="E35" s="15">
        <v>269.233</v>
      </c>
      <c r="F35" s="14">
        <v>0.5</v>
      </c>
      <c r="G35" s="16">
        <v>1369.9065000000001</v>
      </c>
      <c r="H35" s="16">
        <v>199.55</v>
      </c>
      <c r="I35" s="7">
        <f t="shared" si="0"/>
        <v>157549.29578225</v>
      </c>
      <c r="J35" s="17"/>
      <c r="K35" s="18"/>
      <c r="L35" s="18"/>
      <c r="N35" s="11"/>
      <c r="O35" s="11"/>
    </row>
    <row r="36" spans="2:15" ht="20.149999999999999" customHeight="1">
      <c r="B36" s="6">
        <v>43525</v>
      </c>
      <c r="C36" s="6">
        <v>43556</v>
      </c>
      <c r="D36" s="14" t="s">
        <v>1</v>
      </c>
      <c r="E36" s="15">
        <v>295.80930499999999</v>
      </c>
      <c r="F36" s="14">
        <v>0.5</v>
      </c>
      <c r="G36" s="16">
        <v>1369.9065000000001</v>
      </c>
      <c r="H36" s="16">
        <v>199.55</v>
      </c>
      <c r="I36" s="7">
        <f t="shared" si="0"/>
        <v>173101.17143361625</v>
      </c>
      <c r="J36" s="17"/>
      <c r="K36" s="18"/>
      <c r="L36" s="18"/>
      <c r="N36" s="11"/>
      <c r="O36" s="11"/>
    </row>
    <row r="37" spans="2:15" ht="20.149999999999999" customHeight="1">
      <c r="B37" s="6">
        <v>43556</v>
      </c>
      <c r="C37" s="6">
        <v>43586</v>
      </c>
      <c r="D37" s="14" t="s">
        <v>1</v>
      </c>
      <c r="E37" s="15">
        <v>296.64878600000003</v>
      </c>
      <c r="F37" s="14">
        <v>0.5</v>
      </c>
      <c r="G37" s="16">
        <v>1369.9065000000001</v>
      </c>
      <c r="H37" s="16">
        <v>199.55</v>
      </c>
      <c r="I37" s="7">
        <f>E37*F37*(G37-H37)</f>
        <v>173592.41745610454</v>
      </c>
      <c r="J37" s="17"/>
      <c r="K37" s="18"/>
      <c r="L37" s="18"/>
      <c r="N37" s="11"/>
      <c r="O37" s="11"/>
    </row>
    <row r="38" spans="2:15" ht="20.149999999999999" customHeight="1">
      <c r="B38" s="6">
        <v>43586</v>
      </c>
      <c r="C38" s="6">
        <v>43617</v>
      </c>
      <c r="D38" s="14" t="s">
        <v>1</v>
      </c>
      <c r="E38" s="15">
        <v>304.35154100000005</v>
      </c>
      <c r="F38" s="14">
        <v>0.5</v>
      </c>
      <c r="G38" s="16">
        <v>1369.91</v>
      </c>
      <c r="H38" s="16">
        <v>199.55</v>
      </c>
      <c r="I38" s="7">
        <f t="shared" ref="I38:I39" si="1">E38*F38*(G38-H38)</f>
        <v>178100.43476238006</v>
      </c>
      <c r="J38" s="17"/>
      <c r="K38" s="18"/>
      <c r="L38" s="18"/>
      <c r="N38" s="11"/>
      <c r="O38" s="11"/>
    </row>
    <row r="39" spans="2:15" ht="20.149999999999999" customHeight="1">
      <c r="B39" s="6">
        <v>43617</v>
      </c>
      <c r="C39" s="6">
        <v>43647</v>
      </c>
      <c r="D39" s="14" t="s">
        <v>1</v>
      </c>
      <c r="E39" s="15">
        <v>298.39600000000002</v>
      </c>
      <c r="F39" s="14">
        <v>0.5</v>
      </c>
      <c r="G39" s="16">
        <v>1369.91</v>
      </c>
      <c r="H39" s="16">
        <v>199.55</v>
      </c>
      <c r="I39" s="7">
        <f t="shared" si="1"/>
        <v>174615.37128000002</v>
      </c>
      <c r="J39" s="17"/>
      <c r="K39" s="18"/>
      <c r="L39" s="18"/>
      <c r="N39" s="11"/>
      <c r="O39" s="11"/>
    </row>
    <row r="40" spans="2:15" ht="20.149999999999999" customHeight="1">
      <c r="B40" s="6">
        <v>43647</v>
      </c>
      <c r="C40" s="6">
        <v>43678</v>
      </c>
      <c r="D40" s="14" t="s">
        <v>1</v>
      </c>
      <c r="E40" s="15">
        <v>311.48874899999998</v>
      </c>
      <c r="F40" s="14">
        <v>0.5</v>
      </c>
      <c r="G40" s="16">
        <v>1369.91</v>
      </c>
      <c r="H40" s="16">
        <v>199.55</v>
      </c>
      <c r="I40" s="7">
        <f>E40*F40*(G40-H40)-79028.43</f>
        <v>103248.55613982002</v>
      </c>
      <c r="J40" s="19"/>
      <c r="K40" s="18"/>
      <c r="L40" s="18"/>
      <c r="N40" s="11"/>
      <c r="O40" s="11"/>
    </row>
    <row r="41" spans="2:15" ht="20.149999999999999" customHeight="1">
      <c r="B41" s="20"/>
      <c r="C41" s="21"/>
      <c r="D41" s="21"/>
      <c r="E41" s="21"/>
      <c r="F41" s="21"/>
      <c r="G41" s="21"/>
      <c r="H41" s="22"/>
      <c r="I41" s="23"/>
      <c r="J41" s="17"/>
      <c r="K41" s="24"/>
      <c r="N41" s="11"/>
      <c r="O41" s="11"/>
    </row>
    <row r="42" spans="2:15" ht="20.149999999999999" customHeight="1">
      <c r="N42" s="25"/>
    </row>
    <row r="43" spans="2:15">
      <c r="I43" s="26"/>
    </row>
    <row r="44" spans="2:15" ht="19.5" customHeight="1">
      <c r="B44" s="101" t="s">
        <v>28</v>
      </c>
      <c r="C44" s="101"/>
      <c r="D44" s="101"/>
      <c r="E44" s="101"/>
      <c r="G44" s="26"/>
      <c r="L44" s="24"/>
      <c r="M44" s="24"/>
      <c r="N44" s="11"/>
      <c r="O44" s="11"/>
    </row>
    <row r="45" spans="2:15" ht="19.5" customHeight="1">
      <c r="B45" s="104" t="s">
        <v>4</v>
      </c>
      <c r="C45" s="104"/>
      <c r="D45" s="107">
        <v>4613325</v>
      </c>
      <c r="E45" s="107"/>
      <c r="G45" s="27"/>
      <c r="L45" s="24"/>
      <c r="M45" s="24"/>
      <c r="N45" s="11"/>
      <c r="O45" s="11"/>
    </row>
    <row r="46" spans="2:15" ht="19.5" customHeight="1">
      <c r="B46" s="104" t="s">
        <v>5</v>
      </c>
      <c r="C46" s="104"/>
      <c r="D46" s="107">
        <f>SUM(I9:I20)</f>
        <v>1642691.3333679913</v>
      </c>
      <c r="E46" s="107"/>
      <c r="G46" s="26"/>
      <c r="L46" s="24"/>
      <c r="M46" s="24"/>
      <c r="N46" s="11"/>
      <c r="O46" s="11"/>
    </row>
    <row r="47" spans="2:15" ht="19.5" customHeight="1">
      <c r="B47" s="104" t="s">
        <v>6</v>
      </c>
      <c r="C47" s="104"/>
      <c r="D47" s="107">
        <f>D45-D46</f>
        <v>2970633.6666320087</v>
      </c>
      <c r="E47" s="107"/>
      <c r="L47" s="24"/>
      <c r="M47" s="24"/>
      <c r="N47" s="11"/>
      <c r="O47" s="11"/>
    </row>
    <row r="48" spans="2:15" ht="19.5" customHeight="1">
      <c r="B48" s="104" t="s">
        <v>7</v>
      </c>
      <c r="C48" s="104"/>
      <c r="D48" s="105">
        <v>3053923.8604177646</v>
      </c>
      <c r="E48" s="105"/>
      <c r="L48" s="24"/>
      <c r="M48" s="24"/>
      <c r="N48" s="11"/>
      <c r="O48" s="11"/>
    </row>
    <row r="49" spans="2:15" ht="19.5" customHeight="1">
      <c r="B49" s="104" t="s">
        <v>8</v>
      </c>
      <c r="C49" s="104"/>
      <c r="D49" s="105">
        <f>SUM(I21:I32)</f>
        <v>1821901.8230790761</v>
      </c>
      <c r="E49" s="105"/>
      <c r="L49" s="24"/>
      <c r="M49" s="24"/>
      <c r="N49" s="11"/>
      <c r="O49" s="11"/>
    </row>
    <row r="50" spans="2:15" ht="19.5" customHeight="1">
      <c r="B50" s="104" t="s">
        <v>6</v>
      </c>
      <c r="C50" s="104"/>
      <c r="D50" s="105">
        <f>D48-D49</f>
        <v>1232022.0373386885</v>
      </c>
      <c r="E50" s="105"/>
      <c r="L50" s="24"/>
      <c r="M50" s="24"/>
      <c r="N50" s="11"/>
      <c r="O50" s="11"/>
    </row>
    <row r="51" spans="2:15" ht="19.5" customHeight="1">
      <c r="B51" s="104" t="s">
        <v>7</v>
      </c>
      <c r="C51" s="104"/>
      <c r="D51" s="105">
        <v>1281870.0357727646</v>
      </c>
      <c r="E51" s="105"/>
      <c r="L51" s="24"/>
      <c r="M51" s="24"/>
      <c r="N51" s="11"/>
      <c r="O51" s="11"/>
    </row>
    <row r="52" spans="2:15" ht="19.5" customHeight="1">
      <c r="B52" s="104" t="s">
        <v>9</v>
      </c>
      <c r="C52" s="104"/>
      <c r="D52" s="105">
        <f>SUM(I33:I40)</f>
        <v>1281870.0338903901</v>
      </c>
      <c r="E52" s="105"/>
      <c r="L52" s="24"/>
      <c r="M52" s="24"/>
      <c r="N52" s="11"/>
      <c r="O52" s="11"/>
    </row>
    <row r="53" spans="2:15" ht="19.5" customHeight="1">
      <c r="B53" s="104" t="s">
        <v>6</v>
      </c>
      <c r="C53" s="104"/>
      <c r="D53" s="105">
        <f>D51-D52</f>
        <v>1.882374519482255E-3</v>
      </c>
      <c r="E53" s="105"/>
      <c r="L53" s="24"/>
      <c r="M53" s="24"/>
      <c r="N53" s="11"/>
      <c r="O53" s="11"/>
    </row>
    <row r="54" spans="2:15" ht="19.5" customHeight="1">
      <c r="B54" s="102"/>
      <c r="C54" s="106"/>
      <c r="D54" s="106"/>
      <c r="E54" s="103"/>
      <c r="L54" s="24"/>
      <c r="M54" s="24"/>
      <c r="N54" s="11"/>
      <c r="O54" s="11"/>
    </row>
    <row r="55" spans="2:15" ht="19.5" customHeight="1"/>
    <row r="56" spans="2:15" ht="19.5" customHeight="1">
      <c r="B56" s="28" t="s">
        <v>29</v>
      </c>
    </row>
    <row r="57" spans="2:15" ht="19.5" customHeight="1">
      <c r="M57" s="24"/>
      <c r="O57" s="11"/>
    </row>
    <row r="58" spans="2:15" ht="19.5" customHeight="1"/>
    <row r="59" spans="2:15" ht="19.5" customHeight="1"/>
    <row r="60" spans="2:15" ht="19.5" customHeight="1">
      <c r="N60" s="11"/>
      <c r="O60" s="11"/>
    </row>
    <row r="61" spans="2:15" ht="19.5" customHeight="1">
      <c r="N61" s="11"/>
      <c r="O61" s="11"/>
    </row>
    <row r="62" spans="2:15" ht="19.5" customHeight="1">
      <c r="N62" s="11"/>
      <c r="O62" s="11"/>
    </row>
    <row r="63" spans="2:15" ht="19.5" customHeight="1">
      <c r="N63" s="11"/>
      <c r="O63" s="11"/>
    </row>
    <row r="64" spans="2:15" ht="19.5" customHeight="1">
      <c r="N64" s="11"/>
      <c r="O64" s="11"/>
    </row>
    <row r="65" spans="14:15" ht="19.5" customHeight="1">
      <c r="N65" s="11"/>
      <c r="O65" s="11"/>
    </row>
    <row r="66" spans="14:15" ht="19.5" customHeight="1">
      <c r="N66" s="11"/>
      <c r="O66" s="11"/>
    </row>
    <row r="67" spans="14:15" ht="19.5" customHeight="1">
      <c r="N67" s="11"/>
      <c r="O67" s="11"/>
    </row>
    <row r="68" spans="14:15" ht="19.5" customHeight="1">
      <c r="N68" s="11"/>
      <c r="O68" s="11"/>
    </row>
    <row r="69" spans="14:15" ht="19.5" customHeight="1">
      <c r="N69" s="11"/>
      <c r="O69" s="11"/>
    </row>
    <row r="1053" spans="3:15">
      <c r="C1053" s="29"/>
      <c r="N1053" s="11"/>
      <c r="O1053" s="11"/>
    </row>
    <row r="1054" spans="3:15">
      <c r="C1054" s="29"/>
      <c r="N1054" s="11"/>
      <c r="O1054" s="11"/>
    </row>
    <row r="1055" spans="3:15">
      <c r="C1055" s="29"/>
      <c r="N1055" s="11"/>
      <c r="O1055" s="11"/>
    </row>
    <row r="1056" spans="3:15">
      <c r="C1056" s="29"/>
      <c r="N1056" s="11"/>
      <c r="O1056" s="11"/>
    </row>
    <row r="1057" spans="3:15">
      <c r="C1057" s="29"/>
      <c r="N1057" s="11"/>
      <c r="O1057" s="11"/>
    </row>
    <row r="1058" spans="3:15">
      <c r="C1058" s="29"/>
      <c r="N1058" s="11"/>
      <c r="O1058" s="11"/>
    </row>
    <row r="1059" spans="3:15">
      <c r="C1059" s="29"/>
      <c r="N1059" s="11"/>
      <c r="O1059" s="11"/>
    </row>
    <row r="1060" spans="3:15">
      <c r="C1060" s="29"/>
      <c r="N1060" s="11"/>
      <c r="O1060" s="11"/>
    </row>
    <row r="1061" spans="3:15">
      <c r="C1061" s="29"/>
      <c r="N1061" s="11"/>
      <c r="O1061" s="11"/>
    </row>
  </sheetData>
  <mergeCells count="20">
    <mergeCell ref="B46:C46"/>
    <mergeCell ref="D46:E46"/>
    <mergeCell ref="B44:E44"/>
    <mergeCell ref="B45:C45"/>
    <mergeCell ref="D45:E45"/>
    <mergeCell ref="B47:C47"/>
    <mergeCell ref="D47:E47"/>
    <mergeCell ref="B48:C48"/>
    <mergeCell ref="D48:E48"/>
    <mergeCell ref="B49:C49"/>
    <mergeCell ref="D49:E49"/>
    <mergeCell ref="B53:C53"/>
    <mergeCell ref="D53:E53"/>
    <mergeCell ref="B54:E54"/>
    <mergeCell ref="B50:C50"/>
    <mergeCell ref="D50:E50"/>
    <mergeCell ref="B51:C51"/>
    <mergeCell ref="D51:E51"/>
    <mergeCell ref="B52:C52"/>
    <mergeCell ref="D52:E5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O18"/>
  <sheetViews>
    <sheetView showGridLines="0" topLeftCell="A8" zoomScale="85" zoomScaleNormal="85" workbookViewId="0">
      <selection activeCell="H18" sqref="H18"/>
    </sheetView>
  </sheetViews>
  <sheetFormatPr defaultColWidth="9.1796875" defaultRowHeight="14.5"/>
  <cols>
    <col min="1" max="1" width="2.7265625" style="1" customWidth="1"/>
    <col min="2" max="2" width="11.7265625" style="1" customWidth="1"/>
    <col min="3" max="14" width="12.81640625" style="1" bestFit="1" customWidth="1"/>
    <col min="15" max="16384" width="9.1796875" style="1"/>
  </cols>
  <sheetData>
    <row r="2" spans="2:15" s="11" customFormat="1" ht="50.15" customHeight="1">
      <c r="D2" s="108" t="s">
        <v>21</v>
      </c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2:15" ht="15">
      <c r="B3" s="75" t="s">
        <v>37</v>
      </c>
      <c r="C3" s="5" t="s">
        <v>10</v>
      </c>
      <c r="D3" s="5" t="s">
        <v>11</v>
      </c>
      <c r="E3" s="5" t="s">
        <v>12</v>
      </c>
      <c r="F3" s="5" t="s">
        <v>13</v>
      </c>
      <c r="G3" s="5" t="s">
        <v>36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5" t="s">
        <v>19</v>
      </c>
      <c r="N3" s="5" t="s">
        <v>20</v>
      </c>
    </row>
    <row r="4" spans="2:15" ht="15">
      <c r="B4" s="76">
        <v>2011</v>
      </c>
      <c r="C4" s="77">
        <v>3222.42</v>
      </c>
      <c r="D4" s="79">
        <v>3248.2</v>
      </c>
      <c r="E4" s="77">
        <v>3273.86</v>
      </c>
      <c r="F4" s="79">
        <v>3299.07</v>
      </c>
      <c r="G4" s="77">
        <v>3314.58</v>
      </c>
      <c r="H4" s="79">
        <v>3319.55</v>
      </c>
      <c r="I4" s="77">
        <v>3324.86</v>
      </c>
      <c r="J4" s="79">
        <v>3337.16</v>
      </c>
      <c r="K4" s="77">
        <v>3354.85</v>
      </c>
      <c r="L4" s="79">
        <v>3369.28</v>
      </c>
      <c r="M4" s="77">
        <v>3386.8</v>
      </c>
      <c r="N4" s="79">
        <v>3403.73</v>
      </c>
    </row>
    <row r="5" spans="2:15" ht="15">
      <c r="B5" s="76">
        <v>2012</v>
      </c>
      <c r="C5" s="77">
        <v>3422.79</v>
      </c>
      <c r="D5" s="79">
        <v>3438.19</v>
      </c>
      <c r="E5" s="77">
        <v>3445.41</v>
      </c>
      <c r="F5" s="79">
        <v>3467.46</v>
      </c>
      <c r="G5" s="77">
        <v>3479.94</v>
      </c>
      <c r="H5" s="79">
        <v>3482.72</v>
      </c>
      <c r="I5" s="77">
        <v>3497.7</v>
      </c>
      <c r="J5" s="79">
        <v>3512.04</v>
      </c>
      <c r="K5" s="77">
        <v>3532.06</v>
      </c>
      <c r="L5" s="79">
        <v>3552.9</v>
      </c>
      <c r="M5" s="77">
        <v>3574.22</v>
      </c>
      <c r="N5" s="79">
        <v>3602.46</v>
      </c>
      <c r="O5" s="82"/>
    </row>
    <row r="6" spans="2:15" ht="15">
      <c r="B6" s="76">
        <v>2013</v>
      </c>
      <c r="C6" s="77">
        <v>3633.44</v>
      </c>
      <c r="D6" s="79">
        <v>3655.24</v>
      </c>
      <c r="E6" s="77">
        <v>3672.42</v>
      </c>
      <c r="F6" s="79">
        <v>3692.62</v>
      </c>
      <c r="G6" s="77">
        <v>3706.28</v>
      </c>
      <c r="H6" s="79">
        <v>3715.92</v>
      </c>
      <c r="I6" s="77">
        <v>3717.03</v>
      </c>
      <c r="J6" s="79">
        <v>3725.95</v>
      </c>
      <c r="K6" s="77">
        <v>3738.99</v>
      </c>
      <c r="L6" s="79">
        <v>3760.3</v>
      </c>
      <c r="M6" s="77">
        <v>3780.61</v>
      </c>
      <c r="N6" s="79">
        <v>3815.39</v>
      </c>
      <c r="O6" s="82"/>
    </row>
    <row r="7" spans="2:15" ht="15">
      <c r="B7" s="76">
        <v>2014</v>
      </c>
      <c r="C7" s="77">
        <v>3836.37</v>
      </c>
      <c r="D7" s="79">
        <v>3862.84</v>
      </c>
      <c r="E7" s="77">
        <v>3898.38</v>
      </c>
      <c r="F7" s="79">
        <v>3924.5</v>
      </c>
      <c r="G7" s="77">
        <v>3942.55</v>
      </c>
      <c r="H7" s="79">
        <v>3958.32</v>
      </c>
      <c r="I7" s="77">
        <v>3958.72</v>
      </c>
      <c r="J7" s="79">
        <v>3968.62</v>
      </c>
      <c r="K7" s="77">
        <v>3991.24</v>
      </c>
      <c r="L7" s="79">
        <v>4008</v>
      </c>
      <c r="M7" s="77">
        <v>4028.44</v>
      </c>
      <c r="N7" s="79">
        <v>4059.86</v>
      </c>
      <c r="O7" s="82"/>
    </row>
    <row r="8" spans="2:15" ht="15">
      <c r="B8" s="76">
        <v>2015</v>
      </c>
      <c r="C8" s="77">
        <v>4110.2</v>
      </c>
      <c r="D8" s="79">
        <v>4160.34</v>
      </c>
      <c r="E8" s="77">
        <v>4215.26</v>
      </c>
      <c r="F8" s="79">
        <v>4245.1899999999996</v>
      </c>
      <c r="G8" s="77">
        <v>4276.6000000000004</v>
      </c>
      <c r="H8" s="79">
        <v>4310.3900000000003</v>
      </c>
      <c r="I8" s="77">
        <v>4337.1099999999997</v>
      </c>
      <c r="J8" s="79">
        <v>4346.6499999999996</v>
      </c>
      <c r="K8" s="77">
        <v>4370.12</v>
      </c>
      <c r="L8" s="79">
        <v>4405.95</v>
      </c>
      <c r="M8" s="77">
        <v>4450.45</v>
      </c>
      <c r="N8" s="79">
        <v>4493.17</v>
      </c>
      <c r="O8" s="82"/>
    </row>
    <row r="9" spans="2:15" ht="15">
      <c r="B9" s="76">
        <v>2016</v>
      </c>
      <c r="C9" s="77">
        <v>4550.2299999999996</v>
      </c>
      <c r="D9" s="79">
        <v>4591.18</v>
      </c>
      <c r="E9" s="77">
        <v>4610.92</v>
      </c>
      <c r="F9" s="79">
        <v>4639.05</v>
      </c>
      <c r="G9" s="77">
        <v>4675.2299999999996</v>
      </c>
      <c r="H9" s="79">
        <v>4691.59</v>
      </c>
      <c r="I9" s="77">
        <v>4715.99</v>
      </c>
      <c r="J9" s="79">
        <v>4736.74</v>
      </c>
      <c r="K9" s="77">
        <v>4740.53</v>
      </c>
      <c r="L9" s="79">
        <v>4752.8599999999997</v>
      </c>
      <c r="M9" s="77">
        <v>4761.42</v>
      </c>
      <c r="N9" s="79">
        <v>4775.7</v>
      </c>
      <c r="O9" s="82"/>
    </row>
    <row r="10" spans="2:15" ht="15">
      <c r="B10" s="76">
        <v>2017</v>
      </c>
      <c r="C10" s="77">
        <v>4793.8500000000004</v>
      </c>
      <c r="D10" s="79">
        <v>4809.67</v>
      </c>
      <c r="E10" s="77">
        <v>4821.6899999999996</v>
      </c>
      <c r="F10" s="79">
        <v>4828.4399999999996</v>
      </c>
      <c r="G10" s="77">
        <v>4843.41</v>
      </c>
      <c r="H10" s="79">
        <v>4832.2700000000004</v>
      </c>
      <c r="I10" s="77">
        <v>4843.87</v>
      </c>
      <c r="J10" s="79">
        <v>4853.07</v>
      </c>
      <c r="K10" s="77">
        <v>4860.83</v>
      </c>
      <c r="L10" s="79">
        <v>4881.25</v>
      </c>
      <c r="M10" s="77">
        <v>4894.92</v>
      </c>
      <c r="N10" s="79">
        <v>4916.46</v>
      </c>
      <c r="O10" s="82"/>
    </row>
    <row r="11" spans="2:15" ht="15">
      <c r="B11" s="76">
        <v>2018</v>
      </c>
      <c r="C11" s="77">
        <v>4930.72</v>
      </c>
      <c r="D11" s="79">
        <v>4946.5</v>
      </c>
      <c r="E11" s="77">
        <v>4950.95</v>
      </c>
      <c r="F11" s="79">
        <v>4961.84</v>
      </c>
      <c r="G11" s="77">
        <v>4981.6899999999996</v>
      </c>
      <c r="H11" s="79">
        <v>5044.46</v>
      </c>
      <c r="I11" s="77">
        <v>5061.1099999999997</v>
      </c>
      <c r="J11" s="79">
        <v>5056.5600000000004</v>
      </c>
      <c r="K11" s="77">
        <v>5080.83</v>
      </c>
      <c r="L11" s="79">
        <v>5103.6899999999996</v>
      </c>
      <c r="M11" s="77">
        <v>5092.97</v>
      </c>
      <c r="N11" s="79">
        <v>5100.6099999999997</v>
      </c>
      <c r="O11" s="82"/>
    </row>
    <row r="12" spans="2:15" ht="15">
      <c r="B12" s="76">
        <v>2019</v>
      </c>
      <c r="C12" s="77">
        <v>5116.93</v>
      </c>
      <c r="D12" s="79">
        <v>5138.93</v>
      </c>
      <c r="E12" s="77">
        <v>5177.47</v>
      </c>
      <c r="F12" s="79">
        <v>5206.9799999999996</v>
      </c>
      <c r="G12" s="77">
        <v>5213.75</v>
      </c>
      <c r="H12" s="79">
        <v>5214.2700000000004</v>
      </c>
      <c r="I12" s="77">
        <v>5224.18</v>
      </c>
      <c r="J12" s="79">
        <v>5229.93</v>
      </c>
      <c r="K12" s="77">
        <v>5227.84</v>
      </c>
      <c r="L12" s="79">
        <v>5233.07</v>
      </c>
      <c r="M12" s="77">
        <v>5259.76</v>
      </c>
      <c r="N12" s="79">
        <v>5320.25</v>
      </c>
      <c r="O12" s="82"/>
    </row>
    <row r="13" spans="2:15" ht="15">
      <c r="B13" s="76">
        <v>2020</v>
      </c>
      <c r="C13" s="77">
        <v>5331.42</v>
      </c>
      <c r="D13" s="79">
        <v>5344.75</v>
      </c>
      <c r="E13" s="77">
        <v>5348.49</v>
      </c>
      <c r="F13" s="79">
        <v>5331.91</v>
      </c>
      <c r="G13" s="77">
        <v>5311.65</v>
      </c>
      <c r="H13" s="79">
        <v>5325.46</v>
      </c>
      <c r="I13" s="77">
        <v>5344.63</v>
      </c>
      <c r="J13" s="79">
        <v>5357.46</v>
      </c>
      <c r="K13" s="77">
        <v>5391.75</v>
      </c>
      <c r="L13" s="79">
        <v>5438.12</v>
      </c>
      <c r="M13" s="77">
        <v>5486.52</v>
      </c>
      <c r="N13" s="79">
        <v>5560.59</v>
      </c>
      <c r="O13" s="82"/>
    </row>
    <row r="14" spans="2:15" ht="15">
      <c r="B14" s="76">
        <v>2021</v>
      </c>
      <c r="C14" s="77">
        <v>5574.49</v>
      </c>
      <c r="D14" s="79">
        <v>5622.43</v>
      </c>
      <c r="E14" s="77">
        <v>5674.72</v>
      </c>
      <c r="F14" s="79">
        <v>5692.31</v>
      </c>
      <c r="G14" s="77">
        <v>5739.56</v>
      </c>
      <c r="H14" s="79">
        <v>5769.98</v>
      </c>
      <c r="I14" s="77">
        <v>5825.37</v>
      </c>
      <c r="J14" s="79">
        <v>5876.05</v>
      </c>
      <c r="K14" s="77">
        <v>5944.21</v>
      </c>
      <c r="L14" s="79">
        <v>6018.51</v>
      </c>
      <c r="M14" s="77">
        <v>6075.69</v>
      </c>
      <c r="N14" s="79">
        <v>6120.04</v>
      </c>
      <c r="O14" s="82"/>
    </row>
    <row r="15" spans="2:15" ht="15">
      <c r="B15" s="76">
        <v>2022</v>
      </c>
      <c r="C15" s="77">
        <v>6153.09</v>
      </c>
      <c r="D15" s="79">
        <v>6215.24</v>
      </c>
      <c r="E15" s="77">
        <v>6315.93</v>
      </c>
      <c r="F15" s="79">
        <v>6382.88</v>
      </c>
      <c r="G15" s="77">
        <v>6412.88</v>
      </c>
      <c r="H15" s="79">
        <v>6455.85</v>
      </c>
      <c r="I15" s="77">
        <v>6411.95</v>
      </c>
      <c r="J15" s="79">
        <v>6388.87</v>
      </c>
      <c r="K15" s="77">
        <v>6370.34</v>
      </c>
      <c r="L15" s="79">
        <v>6407.93</v>
      </c>
      <c r="M15" s="77">
        <v>6434.2</v>
      </c>
      <c r="N15" s="80">
        <v>6474.09</v>
      </c>
      <c r="O15" s="82"/>
    </row>
    <row r="16" spans="2:15" ht="15">
      <c r="B16" s="76">
        <v>2023</v>
      </c>
      <c r="C16" s="78">
        <v>6508.4</v>
      </c>
      <c r="D16" s="80">
        <v>6563.07</v>
      </c>
      <c r="E16" s="78">
        <v>6609.67</v>
      </c>
      <c r="F16" s="80">
        <v>6649.99</v>
      </c>
      <c r="G16" s="77">
        <v>6665.28</v>
      </c>
      <c r="H16" s="80">
        <v>6659.95</v>
      </c>
      <c r="I16" s="78">
        <v>6667.94</v>
      </c>
      <c r="J16" s="80">
        <v>6683.28</v>
      </c>
      <c r="K16" s="78">
        <v>6700.66</v>
      </c>
      <c r="L16" s="79">
        <v>6716.74</v>
      </c>
      <c r="M16" s="78">
        <v>6735.55</v>
      </c>
      <c r="N16" s="80">
        <v>6773.27</v>
      </c>
      <c r="O16" s="82"/>
    </row>
    <row r="17" spans="2:15" ht="15">
      <c r="B17" s="76">
        <v>2024</v>
      </c>
      <c r="C17" s="78">
        <v>6801.72</v>
      </c>
      <c r="D17" s="80">
        <v>6858.17</v>
      </c>
      <c r="E17" s="78">
        <v>6869.14</v>
      </c>
      <c r="F17" s="80">
        <v>6895.24</v>
      </c>
      <c r="G17" s="77">
        <v>6926.96</v>
      </c>
      <c r="H17" s="80">
        <v>6941.51</v>
      </c>
      <c r="I17" s="78">
        <v>6967.89</v>
      </c>
      <c r="J17" s="80">
        <v>6966.5</v>
      </c>
      <c r="K17" s="78">
        <v>6997.15</v>
      </c>
      <c r="L17" s="79">
        <v>7036.33</v>
      </c>
      <c r="M17" s="78">
        <v>7063.77</v>
      </c>
      <c r="N17" s="80">
        <v>7100.5</v>
      </c>
      <c r="O17" s="82"/>
    </row>
    <row r="18" spans="2:15" ht="15">
      <c r="B18" s="76">
        <v>2025</v>
      </c>
      <c r="C18" s="78">
        <v>7111.86</v>
      </c>
      <c r="D18" s="80">
        <v>7205.03</v>
      </c>
      <c r="E18" s="78">
        <v>7245.38</v>
      </c>
      <c r="F18" s="80">
        <v>7276.54</v>
      </c>
      <c r="G18" s="77">
        <v>7295.46</v>
      </c>
      <c r="H18" s="80">
        <v>7312.97</v>
      </c>
      <c r="I18" s="78"/>
      <c r="J18" s="80"/>
      <c r="K18" s="78"/>
      <c r="L18" s="79"/>
      <c r="M18" s="78"/>
      <c r="N18" s="80"/>
    </row>
  </sheetData>
  <mergeCells count="1">
    <mergeCell ref="D2:N2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N30"/>
  <sheetViews>
    <sheetView showGridLines="0" topLeftCell="A13" zoomScale="85" zoomScaleNormal="85" workbookViewId="0">
      <selection activeCell="H30" sqref="H30"/>
    </sheetView>
  </sheetViews>
  <sheetFormatPr defaultColWidth="9.1796875" defaultRowHeight="14.5"/>
  <cols>
    <col min="1" max="1" width="2.7265625" style="1" customWidth="1"/>
    <col min="2" max="2" width="10.453125" style="1" customWidth="1"/>
    <col min="3" max="14" width="12.81640625" style="1" bestFit="1" customWidth="1"/>
    <col min="15" max="16384" width="9.1796875" style="1"/>
  </cols>
  <sheetData>
    <row r="2" spans="2:14" s="11" customFormat="1" ht="50.15" customHeight="1">
      <c r="D2" s="108" t="s">
        <v>23</v>
      </c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2:14" ht="15">
      <c r="B3" s="75" t="s">
        <v>37</v>
      </c>
      <c r="C3" s="5" t="s">
        <v>10</v>
      </c>
      <c r="D3" s="5" t="s">
        <v>11</v>
      </c>
      <c r="E3" s="5" t="s">
        <v>12</v>
      </c>
      <c r="F3" s="5" t="s">
        <v>13</v>
      </c>
      <c r="G3" s="5" t="s">
        <v>36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5" t="s">
        <v>19</v>
      </c>
      <c r="N3" s="5" t="s">
        <v>20</v>
      </c>
    </row>
    <row r="4" spans="2:14" ht="15">
      <c r="B4" s="76">
        <v>2000</v>
      </c>
      <c r="C4" s="77">
        <v>180.30099999999999</v>
      </c>
      <c r="D4" s="79">
        <v>180.935</v>
      </c>
      <c r="E4" s="77">
        <v>181.214</v>
      </c>
      <c r="F4" s="79">
        <v>181.63499999999999</v>
      </c>
      <c r="G4" s="77">
        <v>182.18899999999999</v>
      </c>
      <c r="H4" s="79">
        <v>183.745</v>
      </c>
      <c r="I4" s="77">
        <v>186.63399999999999</v>
      </c>
      <c r="J4" s="79">
        <v>191.08699999999999</v>
      </c>
      <c r="K4" s="77">
        <v>193.297</v>
      </c>
      <c r="L4" s="79">
        <v>194.04</v>
      </c>
      <c r="M4" s="77">
        <v>194.59899999999999</v>
      </c>
      <c r="N4" s="79">
        <v>195.827</v>
      </c>
    </row>
    <row r="5" spans="2:14" ht="15">
      <c r="B5" s="76">
        <f>B4+1</f>
        <v>2001</v>
      </c>
      <c r="C5" s="77">
        <v>197.04499999999999</v>
      </c>
      <c r="D5" s="79">
        <v>197.49100000000001</v>
      </c>
      <c r="E5" s="77">
        <v>198.60599999999999</v>
      </c>
      <c r="F5" s="79">
        <v>200.59100000000001</v>
      </c>
      <c r="G5" s="77">
        <v>202.32400000000001</v>
      </c>
      <c r="H5" s="79">
        <v>204.31</v>
      </c>
      <c r="I5" s="77">
        <v>207.34100000000001</v>
      </c>
      <c r="J5" s="79">
        <v>210.21100000000001</v>
      </c>
      <c r="K5" s="77">
        <v>210.85300000000001</v>
      </c>
      <c r="L5" s="79">
        <v>213.339</v>
      </c>
      <c r="M5" s="77">
        <v>215.685</v>
      </c>
      <c r="N5" s="79">
        <v>216.16300000000001</v>
      </c>
    </row>
    <row r="6" spans="2:14" ht="15">
      <c r="B6" s="76">
        <f t="shared" ref="B6:B13" si="0">B5+1</f>
        <v>2002</v>
      </c>
      <c r="C6" s="77">
        <v>216.94399999999999</v>
      </c>
      <c r="D6" s="79">
        <v>217.07400000000001</v>
      </c>
      <c r="E6" s="77">
        <v>217.27600000000001</v>
      </c>
      <c r="F6" s="79">
        <v>218.48599999999999</v>
      </c>
      <c r="G6" s="77">
        <v>220.292</v>
      </c>
      <c r="H6" s="79">
        <v>223.68799999999999</v>
      </c>
      <c r="I6" s="77">
        <v>228.05699999999999</v>
      </c>
      <c r="J6" s="79">
        <v>233.34800000000001</v>
      </c>
      <c r="K6" s="77">
        <v>238.94300000000001</v>
      </c>
      <c r="L6" s="79">
        <v>248.19900000000001</v>
      </c>
      <c r="M6" s="77">
        <v>261.08</v>
      </c>
      <c r="N6" s="79">
        <v>270.86700000000002</v>
      </c>
    </row>
    <row r="7" spans="2:14" ht="15">
      <c r="B7" s="76">
        <f t="shared" si="0"/>
        <v>2003</v>
      </c>
      <c r="C7" s="77">
        <v>277.173</v>
      </c>
      <c r="D7" s="79">
        <v>283.50599999999997</v>
      </c>
      <c r="E7" s="77">
        <v>287.85500000000002</v>
      </c>
      <c r="F7" s="79">
        <v>290.512</v>
      </c>
      <c r="G7" s="77">
        <v>289.74700000000001</v>
      </c>
      <c r="H7" s="79">
        <v>286.84300000000002</v>
      </c>
      <c r="I7" s="77">
        <v>285.649</v>
      </c>
      <c r="J7" s="79">
        <v>286.73500000000001</v>
      </c>
      <c r="K7" s="77">
        <v>290.12700000000001</v>
      </c>
      <c r="L7" s="79">
        <v>291.22899999999998</v>
      </c>
      <c r="M7" s="77">
        <v>292.65699999999998</v>
      </c>
      <c r="N7" s="79">
        <v>294.45499999999998</v>
      </c>
    </row>
    <row r="8" spans="2:14" ht="15">
      <c r="B8" s="76">
        <f t="shared" si="0"/>
        <v>2004</v>
      </c>
      <c r="C8" s="77">
        <v>297.03899999999999</v>
      </c>
      <c r="D8" s="79">
        <v>299.09699999999998</v>
      </c>
      <c r="E8" s="77">
        <v>302.48399999999998</v>
      </c>
      <c r="F8" s="79">
        <v>306.15100000000001</v>
      </c>
      <c r="G8" s="77">
        <v>310.15199999999999</v>
      </c>
      <c r="H8" s="79">
        <v>314.41899999999998</v>
      </c>
      <c r="I8" s="77">
        <v>318.53199999999998</v>
      </c>
      <c r="J8" s="79">
        <v>322.41199999999998</v>
      </c>
      <c r="K8" s="77">
        <v>324.65100000000001</v>
      </c>
      <c r="L8" s="79">
        <v>325.92500000000001</v>
      </c>
      <c r="M8" s="77">
        <v>328.58800000000002</v>
      </c>
      <c r="N8" s="79">
        <v>331.005</v>
      </c>
    </row>
    <row r="9" spans="2:14" ht="15">
      <c r="B9" s="76">
        <f t="shared" si="0"/>
        <v>2005</v>
      </c>
      <c r="C9" s="77">
        <v>332.298</v>
      </c>
      <c r="D9" s="79">
        <v>333.28800000000001</v>
      </c>
      <c r="E9" s="77">
        <v>336.12299999999999</v>
      </c>
      <c r="F9" s="79">
        <v>339.03</v>
      </c>
      <c r="G9" s="77">
        <v>338.29899999999998</v>
      </c>
      <c r="H9" s="79">
        <v>336.80099999999999</v>
      </c>
      <c r="I9" s="77">
        <v>335.66300000000001</v>
      </c>
      <c r="J9" s="79">
        <v>333.47399999999999</v>
      </c>
      <c r="K9" s="77">
        <v>331.69</v>
      </c>
      <c r="L9" s="79">
        <v>333.69400000000002</v>
      </c>
      <c r="M9" s="77">
        <v>335.03300000000002</v>
      </c>
      <c r="N9" s="79">
        <v>335.00599999999997</v>
      </c>
    </row>
    <row r="10" spans="2:14" ht="15">
      <c r="B10" s="76">
        <f t="shared" si="0"/>
        <v>2006</v>
      </c>
      <c r="C10" s="77">
        <v>338.08300000000003</v>
      </c>
      <c r="D10" s="79">
        <v>338.12799999999999</v>
      </c>
      <c r="E10" s="77">
        <v>337.339</v>
      </c>
      <c r="F10" s="79">
        <v>335.92099999999999</v>
      </c>
      <c r="G10" s="77">
        <v>337.185</v>
      </c>
      <c r="H10" s="79">
        <v>339.71199999999999</v>
      </c>
      <c r="I10" s="77">
        <v>340.31200000000001</v>
      </c>
      <c r="J10" s="79">
        <v>341.57400000000001</v>
      </c>
      <c r="K10" s="77">
        <v>342.56099999999998</v>
      </c>
      <c r="L10" s="79">
        <v>344.15499999999997</v>
      </c>
      <c r="M10" s="77">
        <v>346.74599999999998</v>
      </c>
      <c r="N10" s="79">
        <v>347.84199999999998</v>
      </c>
    </row>
    <row r="11" spans="2:14" ht="15">
      <c r="B11" s="76">
        <f t="shared" si="0"/>
        <v>2007</v>
      </c>
      <c r="C11" s="77">
        <v>349.59300000000002</v>
      </c>
      <c r="D11" s="79">
        <v>350.524</v>
      </c>
      <c r="E11" s="77">
        <v>351.71699999999998</v>
      </c>
      <c r="F11" s="79">
        <v>351.86900000000003</v>
      </c>
      <c r="G11" s="77">
        <v>352.02</v>
      </c>
      <c r="H11" s="79">
        <v>352.93599999999998</v>
      </c>
      <c r="I11" s="77">
        <v>353.92</v>
      </c>
      <c r="J11" s="79">
        <v>357.404</v>
      </c>
      <c r="K11" s="77">
        <v>361.99700000000001</v>
      </c>
      <c r="L11" s="79">
        <v>365.79399999999998</v>
      </c>
      <c r="M11" s="77">
        <v>368.334</v>
      </c>
      <c r="N11" s="79">
        <v>374.815</v>
      </c>
    </row>
    <row r="12" spans="2:14" ht="15">
      <c r="B12" s="76">
        <f t="shared" si="0"/>
        <v>2008</v>
      </c>
      <c r="C12" s="77">
        <v>378.9</v>
      </c>
      <c r="D12" s="79">
        <v>380.90600000000001</v>
      </c>
      <c r="E12" s="77">
        <v>383.73099999999999</v>
      </c>
      <c r="F12" s="79">
        <v>386.38</v>
      </c>
      <c r="G12" s="77">
        <v>392.59199999999998</v>
      </c>
      <c r="H12" s="79">
        <v>400.38200000000001</v>
      </c>
      <c r="I12" s="77">
        <v>407.44600000000003</v>
      </c>
      <c r="J12" s="79">
        <v>406.12700000000001</v>
      </c>
      <c r="K12" s="77">
        <v>406.55700000000002</v>
      </c>
      <c r="L12" s="79">
        <v>410.524</v>
      </c>
      <c r="M12" s="77">
        <v>412.10399999999998</v>
      </c>
      <c r="N12" s="79">
        <v>411.57499999999999</v>
      </c>
    </row>
    <row r="13" spans="2:14" ht="15">
      <c r="B13" s="76">
        <f t="shared" si="0"/>
        <v>2009</v>
      </c>
      <c r="C13" s="77">
        <v>409.78199999999998</v>
      </c>
      <c r="D13" s="79">
        <v>410.84899999999999</v>
      </c>
      <c r="E13" s="77">
        <v>407.80799999999999</v>
      </c>
      <c r="F13" s="79">
        <v>407.18099999999998</v>
      </c>
      <c r="G13" s="77">
        <v>406.88499999999999</v>
      </c>
      <c r="H13" s="79">
        <v>406.48599999999999</v>
      </c>
      <c r="I13" s="77">
        <v>404.71800000000002</v>
      </c>
      <c r="J13" s="79">
        <v>403.25299999999999</v>
      </c>
      <c r="K13" s="77">
        <v>404.94499999999999</v>
      </c>
      <c r="L13" s="79">
        <v>405.12900000000002</v>
      </c>
      <c r="M13" s="77">
        <v>405.548</v>
      </c>
      <c r="N13" s="79">
        <v>404.49900000000002</v>
      </c>
    </row>
    <row r="14" spans="2:14" ht="15">
      <c r="B14" s="76">
        <v>2010</v>
      </c>
      <c r="C14" s="77">
        <v>407.04899999999998</v>
      </c>
      <c r="D14" s="79">
        <v>411.84300000000002</v>
      </c>
      <c r="E14" s="77">
        <v>415.73399999999998</v>
      </c>
      <c r="F14" s="79">
        <v>418.91699999999997</v>
      </c>
      <c r="G14" s="77">
        <v>423.88499999999999</v>
      </c>
      <c r="H14" s="79">
        <v>427.48899999999998</v>
      </c>
      <c r="I14" s="77">
        <v>428.15</v>
      </c>
      <c r="J14" s="79">
        <v>431.44499999999999</v>
      </c>
      <c r="K14" s="77">
        <v>436.423</v>
      </c>
      <c r="L14" s="79">
        <v>440.82900000000001</v>
      </c>
      <c r="M14" s="77">
        <v>447.20600000000002</v>
      </c>
      <c r="N14" s="79">
        <v>450.30099999999999</v>
      </c>
    </row>
    <row r="15" spans="2:14" ht="15">
      <c r="B15" s="76">
        <v>2011</v>
      </c>
      <c r="C15" s="77">
        <v>453.875</v>
      </c>
      <c r="D15" s="79">
        <v>458.39699999999999</v>
      </c>
      <c r="E15" s="77">
        <v>461.24900000000002</v>
      </c>
      <c r="F15" s="79">
        <v>463.31099999999998</v>
      </c>
      <c r="G15" s="77">
        <v>465.31099999999998</v>
      </c>
      <c r="H15" s="79">
        <v>464.46300000000002</v>
      </c>
      <c r="I15" s="77">
        <v>463.92700000000002</v>
      </c>
      <c r="J15" s="79">
        <v>465.96800000000002</v>
      </c>
      <c r="K15" s="77">
        <v>468.97500000000002</v>
      </c>
      <c r="L15" s="79">
        <v>471.46600000000001</v>
      </c>
      <c r="M15" s="77">
        <v>473.80799999999999</v>
      </c>
      <c r="N15" s="79">
        <v>473.25200000000001</v>
      </c>
    </row>
    <row r="16" spans="2:14" ht="15">
      <c r="B16" s="76">
        <v>2012</v>
      </c>
      <c r="C16" s="77">
        <v>474.42899999999997</v>
      </c>
      <c r="D16" s="79">
        <v>474.13799999999998</v>
      </c>
      <c r="E16" s="77">
        <v>476.166</v>
      </c>
      <c r="F16" s="79">
        <v>480.22899999999998</v>
      </c>
      <c r="G16" s="77">
        <v>485.14</v>
      </c>
      <c r="H16" s="79">
        <v>488.34199999999998</v>
      </c>
      <c r="I16" s="77">
        <v>494.89100000000002</v>
      </c>
      <c r="J16" s="79">
        <v>501.95699999999999</v>
      </c>
      <c r="K16" s="77">
        <v>506.80399999999997</v>
      </c>
      <c r="L16" s="79">
        <v>506.92599999999999</v>
      </c>
      <c r="M16" s="77">
        <v>506.79500000000002</v>
      </c>
      <c r="N16" s="79">
        <v>510.25200000000001</v>
      </c>
    </row>
    <row r="17" spans="2:14" ht="15">
      <c r="B17" s="76">
        <v>2013</v>
      </c>
      <c r="C17" s="77">
        <v>511.97699999999998</v>
      </c>
      <c r="D17" s="79">
        <v>513.46699999999998</v>
      </c>
      <c r="E17" s="77">
        <v>514.52599999999995</v>
      </c>
      <c r="F17" s="79">
        <v>515.27599999999995</v>
      </c>
      <c r="G17" s="77">
        <v>515.29899999999998</v>
      </c>
      <c r="H17" s="79">
        <v>519.15300000000002</v>
      </c>
      <c r="I17" s="77">
        <v>520.50800000000004</v>
      </c>
      <c r="J17" s="79">
        <v>521.27</v>
      </c>
      <c r="K17" s="77">
        <v>529.08500000000004</v>
      </c>
      <c r="L17" s="79">
        <v>533.62099999999998</v>
      </c>
      <c r="M17" s="77">
        <v>535.16800000000001</v>
      </c>
      <c r="N17" s="79">
        <v>538.37</v>
      </c>
    </row>
    <row r="18" spans="2:14" ht="15">
      <c r="B18" s="76">
        <v>2014</v>
      </c>
      <c r="C18" s="77">
        <v>540.95899999999995</v>
      </c>
      <c r="D18" s="79">
        <v>543.03800000000001</v>
      </c>
      <c r="E18" s="77">
        <v>552.08699999999999</v>
      </c>
      <c r="F18" s="79">
        <v>556.41999999999996</v>
      </c>
      <c r="G18" s="77">
        <v>555.67899999999997</v>
      </c>
      <c r="H18" s="79">
        <v>551.55399999999997</v>
      </c>
      <c r="I18" s="77">
        <v>548.202</v>
      </c>
      <c r="J18" s="79">
        <v>546.745</v>
      </c>
      <c r="K18" s="77">
        <v>547.83900000000006</v>
      </c>
      <c r="L18" s="79">
        <v>549.39599999999996</v>
      </c>
      <c r="M18" s="77">
        <v>554.76900000000001</v>
      </c>
      <c r="N18" s="79">
        <v>558.21299999999997</v>
      </c>
    </row>
    <row r="19" spans="2:14" ht="15">
      <c r="B19" s="76">
        <v>2015</v>
      </c>
      <c r="C19" s="77">
        <v>562.48199999999997</v>
      </c>
      <c r="D19" s="79">
        <v>564.00400000000002</v>
      </c>
      <c r="E19" s="77">
        <v>569.53599999999994</v>
      </c>
      <c r="F19" s="79">
        <v>576.17499999999995</v>
      </c>
      <c r="G19" s="77">
        <v>578.51599999999996</v>
      </c>
      <c r="H19" s="79">
        <v>582.40099999999995</v>
      </c>
      <c r="I19" s="77">
        <v>586.42600000000004</v>
      </c>
      <c r="J19" s="79">
        <v>588.04200000000003</v>
      </c>
      <c r="K19" s="77">
        <v>593.60599999999999</v>
      </c>
      <c r="L19" s="79">
        <v>604.83199999999999</v>
      </c>
      <c r="M19" s="77">
        <v>614.05100000000004</v>
      </c>
      <c r="N19" s="79">
        <v>617.04399999999998</v>
      </c>
    </row>
    <row r="20" spans="2:14" ht="15">
      <c r="B20" s="76">
        <v>2016</v>
      </c>
      <c r="C20" s="77">
        <v>624.05999999999995</v>
      </c>
      <c r="D20" s="79">
        <v>632.11400000000003</v>
      </c>
      <c r="E20" s="77">
        <v>635.34900000000005</v>
      </c>
      <c r="F20" s="79">
        <v>637.43399999999997</v>
      </c>
      <c r="G20" s="77">
        <v>642.65099999999995</v>
      </c>
      <c r="H20" s="79">
        <v>653.49599999999998</v>
      </c>
      <c r="I20" s="77">
        <v>654.64099999999996</v>
      </c>
      <c r="J20" s="79">
        <v>655.60199999999998</v>
      </c>
      <c r="K20" s="77">
        <v>656.89400000000001</v>
      </c>
      <c r="L20" s="79">
        <v>657.92700000000002</v>
      </c>
      <c r="M20" s="77">
        <v>657.75199999999995</v>
      </c>
      <c r="N20" s="79">
        <v>661.30399999999997</v>
      </c>
    </row>
    <row r="21" spans="2:14" ht="15">
      <c r="B21" s="76">
        <v>2017</v>
      </c>
      <c r="C21" s="77">
        <v>665.54200000000003</v>
      </c>
      <c r="D21" s="79">
        <v>666.09900000000005</v>
      </c>
      <c r="E21" s="77">
        <v>666.197</v>
      </c>
      <c r="F21" s="79">
        <v>658.89800000000002</v>
      </c>
      <c r="G21" s="77">
        <v>652.75800000000004</v>
      </c>
      <c r="H21" s="79">
        <v>648.40899999999999</v>
      </c>
      <c r="I21" s="77">
        <v>643.76599999999996</v>
      </c>
      <c r="J21" s="79">
        <v>644.38300000000004</v>
      </c>
      <c r="K21" s="77">
        <v>647.4</v>
      </c>
      <c r="L21" s="79">
        <v>648.67200000000003</v>
      </c>
      <c r="M21" s="77">
        <v>652.04509440000004</v>
      </c>
      <c r="N21" s="79">
        <v>657.84829569999999</v>
      </c>
    </row>
    <row r="22" spans="2:14" ht="15">
      <c r="B22" s="76">
        <v>2018</v>
      </c>
      <c r="C22" s="77">
        <v>662.82600000000002</v>
      </c>
      <c r="D22" s="79">
        <v>663.31100000000004</v>
      </c>
      <c r="E22" s="77">
        <v>667.524</v>
      </c>
      <c r="F22" s="79">
        <v>671.327</v>
      </c>
      <c r="G22" s="77">
        <v>680.57899999999995</v>
      </c>
      <c r="H22" s="79">
        <v>693.28700000000003</v>
      </c>
      <c r="I22" s="77">
        <v>696.8</v>
      </c>
      <c r="J22" s="79">
        <v>701.67700000000002</v>
      </c>
      <c r="K22" s="77">
        <v>712.37300000000005</v>
      </c>
      <c r="L22" s="79">
        <v>718.68399999999997</v>
      </c>
      <c r="M22" s="77">
        <v>715.16600000000005</v>
      </c>
      <c r="N22" s="79">
        <v>707.44100000000003</v>
      </c>
    </row>
    <row r="23" spans="2:14" ht="15">
      <c r="B23" s="76">
        <v>2019</v>
      </c>
      <c r="C23" s="77">
        <v>707.48800000000006</v>
      </c>
      <c r="D23" s="79">
        <v>713.74699999999996</v>
      </c>
      <c r="E23" s="77">
        <v>722.70699999999999</v>
      </c>
      <c r="F23" s="79">
        <v>729.346</v>
      </c>
      <c r="G23" s="77">
        <v>732.59500000000003</v>
      </c>
      <c r="H23" s="79">
        <v>738.42100000000005</v>
      </c>
      <c r="I23" s="77">
        <v>741.346</v>
      </c>
      <c r="J23" s="79">
        <v>736.40200000000004</v>
      </c>
      <c r="K23" s="77">
        <v>736.36199999999997</v>
      </c>
      <c r="L23" s="79">
        <v>741.33299999999997</v>
      </c>
      <c r="M23" s="77">
        <v>743.55799999999999</v>
      </c>
      <c r="N23" s="79">
        <v>759.11199999999997</v>
      </c>
    </row>
    <row r="24" spans="2:14" ht="15">
      <c r="B24" s="76">
        <v>2020</v>
      </c>
      <c r="C24" s="77">
        <v>762.73299999999995</v>
      </c>
      <c r="D24" s="79">
        <v>762.423</v>
      </c>
      <c r="E24" s="77">
        <v>771.90800000000002</v>
      </c>
      <c r="F24" s="79">
        <v>778.101</v>
      </c>
      <c r="G24" s="77">
        <v>780.28</v>
      </c>
      <c r="H24" s="79">
        <v>792.42899999999997</v>
      </c>
      <c r="I24" s="77">
        <v>810.08299999999997</v>
      </c>
      <c r="J24" s="79">
        <v>832.31299999999999</v>
      </c>
      <c r="K24" s="77">
        <v>868.44200000000001</v>
      </c>
      <c r="L24" s="79">
        <v>896.505</v>
      </c>
      <c r="M24" s="77">
        <v>925.88699999999994</v>
      </c>
      <c r="N24" s="79">
        <v>934.75800000000004</v>
      </c>
    </row>
    <row r="25" spans="2:14" ht="15">
      <c r="B25" s="76">
        <v>2021</v>
      </c>
      <c r="C25" s="77">
        <v>958.84400000000005</v>
      </c>
      <c r="D25" s="79">
        <v>983.06299999999999</v>
      </c>
      <c r="E25" s="77">
        <v>1011.948</v>
      </c>
      <c r="F25" s="79">
        <v>1027.211</v>
      </c>
      <c r="G25" s="77">
        <v>1069.289</v>
      </c>
      <c r="H25" s="79">
        <v>1075.7329999999999</v>
      </c>
      <c r="I25" s="77">
        <v>1084.095</v>
      </c>
      <c r="J25" s="79">
        <v>1091.29</v>
      </c>
      <c r="K25" s="77">
        <v>1084.3119999999999</v>
      </c>
      <c r="L25" s="79">
        <v>1091.2829999999999</v>
      </c>
      <c r="M25" s="77">
        <v>1091.4829999999999</v>
      </c>
      <c r="N25" s="79">
        <v>1100.9880000000001</v>
      </c>
    </row>
    <row r="26" spans="2:14" ht="15">
      <c r="B26" s="76">
        <v>2022</v>
      </c>
      <c r="C26" s="77">
        <v>1120.999</v>
      </c>
      <c r="D26" s="79">
        <v>1141.546</v>
      </c>
      <c r="E26" s="77">
        <v>1161.4179999999999</v>
      </c>
      <c r="F26" s="79">
        <v>1177.809</v>
      </c>
      <c r="G26" s="77">
        <v>1183.953</v>
      </c>
      <c r="H26" s="79">
        <v>1190.8820000000001</v>
      </c>
      <c r="I26" s="77">
        <v>1193.337</v>
      </c>
      <c r="J26" s="79">
        <v>1185.0039999999999</v>
      </c>
      <c r="K26" s="77">
        <v>1173.7929999999999</v>
      </c>
      <c r="L26" s="79">
        <v>1162.3910000000001</v>
      </c>
      <c r="M26" s="77">
        <v>1155.829</v>
      </c>
      <c r="N26" s="79">
        <v>1161.0060000000001</v>
      </c>
    </row>
    <row r="27" spans="2:14" ht="15">
      <c r="B27" s="76">
        <v>2023</v>
      </c>
      <c r="C27" s="77">
        <v>1163.4649999999999</v>
      </c>
      <c r="D27" s="79">
        <v>1162.761</v>
      </c>
      <c r="E27" s="77">
        <v>1163.3589999999999</v>
      </c>
      <c r="F27" s="79">
        <v>1152.307</v>
      </c>
      <c r="G27" s="77">
        <v>1131.058</v>
      </c>
      <c r="H27" s="79">
        <v>1109.23</v>
      </c>
      <c r="I27" s="77">
        <v>1101.204</v>
      </c>
      <c r="J27" s="79">
        <v>1099.71</v>
      </c>
      <c r="K27" s="77">
        <v>1103.74</v>
      </c>
      <c r="L27" s="79">
        <v>1109.2360000000001</v>
      </c>
      <c r="M27" s="77">
        <v>1115.8150000000001</v>
      </c>
      <c r="N27" s="79">
        <v>1124.0719999999999</v>
      </c>
    </row>
    <row r="28" spans="2:14" ht="15">
      <c r="B28" s="76">
        <v>2023</v>
      </c>
      <c r="C28" s="77">
        <v>1163.4649999999999</v>
      </c>
      <c r="D28" s="79">
        <v>1162.761</v>
      </c>
      <c r="E28" s="77">
        <v>1163.3589999999999</v>
      </c>
      <c r="F28" s="79">
        <v>1152.307</v>
      </c>
      <c r="G28" s="77">
        <v>1131.058</v>
      </c>
      <c r="H28" s="79">
        <v>1109.23</v>
      </c>
      <c r="I28" s="77">
        <v>1101.204</v>
      </c>
      <c r="J28" s="79">
        <v>1099.71</v>
      </c>
      <c r="K28" s="77">
        <v>1103.74</v>
      </c>
      <c r="L28" s="79">
        <v>1109.2360000000001</v>
      </c>
      <c r="M28" s="77">
        <v>1115.8150000000001</v>
      </c>
      <c r="N28" s="79">
        <v>1124.0719999999999</v>
      </c>
    </row>
    <row r="29" spans="2:14" ht="15">
      <c r="B29" s="76">
        <v>2024</v>
      </c>
      <c r="C29" s="77">
        <v>1124.8789999999999</v>
      </c>
      <c r="D29" s="79">
        <v>1119.0609999999999</v>
      </c>
      <c r="E29" s="77">
        <v>1113.837</v>
      </c>
      <c r="F29" s="79">
        <v>1117.28</v>
      </c>
      <c r="G29" s="77">
        <v>1127.2329999999999</v>
      </c>
      <c r="H29" s="79">
        <v>1136.4090000000001</v>
      </c>
      <c r="I29" s="77">
        <v>1143.3130000000001</v>
      </c>
      <c r="J29" s="79">
        <v>1146.575</v>
      </c>
      <c r="K29" s="77">
        <v>1153.7180000000001</v>
      </c>
      <c r="L29" s="79">
        <v>1171.2719999999999</v>
      </c>
      <c r="M29" s="77">
        <v>1186.462</v>
      </c>
      <c r="N29" s="79">
        <v>1197.5619999999999</v>
      </c>
    </row>
    <row r="30" spans="2:14" ht="15">
      <c r="B30" s="76">
        <v>2025</v>
      </c>
      <c r="C30" s="77">
        <v>1200.7750000000001</v>
      </c>
      <c r="D30" s="79">
        <v>1213.5139999999999</v>
      </c>
      <c r="E30" s="77">
        <v>1209.432</v>
      </c>
      <c r="F30" s="79">
        <v>1212.296</v>
      </c>
      <c r="G30" s="77">
        <v>1206.3779999999999</v>
      </c>
      <c r="H30" s="79">
        <v>1186.259</v>
      </c>
      <c r="I30" s="77"/>
      <c r="J30" s="79"/>
      <c r="K30" s="77"/>
      <c r="L30" s="79"/>
      <c r="M30" s="77"/>
      <c r="N30" s="79"/>
    </row>
  </sheetData>
  <mergeCells count="1">
    <mergeCell ref="D2:N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Resumo</vt:lpstr>
      <vt:lpstr>LT COMODORO</vt:lpstr>
      <vt:lpstr>PARANORTE</vt:lpstr>
      <vt:lpstr>GUARIBA</vt:lpstr>
      <vt:lpstr>RONDOLÂNDIA</vt:lpstr>
      <vt:lpstr>IPCA</vt:lpstr>
      <vt:lpstr>IGP-M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Joao Pedro Orsi do Vale</dc:creator>
  <cp:lastModifiedBy>Tamilyn Tanaka</cp:lastModifiedBy>
  <dcterms:created xsi:type="dcterms:W3CDTF">2017-08-23T13:10:11Z</dcterms:created>
  <dcterms:modified xsi:type="dcterms:W3CDTF">2025-07-22T13:38:15Z</dcterms:modified>
</cp:coreProperties>
</file>