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Z:\GCSE\CONTA CDE\CCEE - Operação\2026\01. Janeiro\Pagamento\Reembolso Carvão\J&amp;F - 00.350.763.0024-59\"/>
    </mc:Choice>
  </mc:AlternateContent>
  <xr:revisionPtr revIDLastSave="0" documentId="13_ncr:1_{F6D48332-65FC-4F7D-9A56-4B8FF9B23F42}" xr6:coauthVersionLast="47" xr6:coauthVersionMax="47" xr10:uidLastSave="{00000000-0000-0000-0000-000000000000}"/>
  <bookViews>
    <workbookView xWindow="-110" yWindow="-110" windowWidth="19420" windowHeight="10300" tabRatio="576" firstSheet="11" activeTab="12" xr2:uid="{00000000-000D-0000-FFFF-FFFF00000000}"/>
  </bookViews>
  <sheets>
    <sheet name="Introdução" sheetId="17" r:id="rId1"/>
    <sheet name="Carvão &amp; Total" sheetId="2" r:id="rId2"/>
    <sheet name="NF carvão" sheetId="10" r:id="rId3"/>
    <sheet name="Secund" sheetId="1" r:id="rId4"/>
    <sheet name="NF Óleo Comb" sheetId="13" r:id="rId5"/>
    <sheet name="ANP Diesel" sheetId="12" r:id="rId6"/>
    <sheet name="ANP Óleo Comb" sheetId="11" r:id="rId7"/>
    <sheet name="NF Diesel" sheetId="4" r:id="rId8"/>
    <sheet name="Estoque Carv" sheetId="8" state="hidden" r:id="rId9"/>
    <sheet name="Parâmetros" sheetId="3" r:id="rId10"/>
    <sheet name="Acompanhamento Ea-1" sheetId="18" r:id="rId11"/>
    <sheet name="SCD" sheetId="15" r:id="rId12"/>
    <sheet name="Reprocessamentos" sheetId="20" r:id="rId13"/>
    <sheet name="Financeiro" sheetId="19" r:id="rId14"/>
    <sheet name="Exportação" sheetId="24" r:id="rId15"/>
    <sheet name="Fiscalização Financeira" sheetId="21" r:id="rId16"/>
    <sheet name="Tributos" sheetId="16" state="hidden" r:id="rId17"/>
  </sheets>
  <definedNames>
    <definedName name="_xlnm._FilterDatabase" localSheetId="13" hidden="1">Financeiro!$B$6:$J$48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6" i="19" l="1"/>
  <c r="J47" i="19"/>
  <c r="J48" i="19"/>
  <c r="J43" i="19"/>
  <c r="J44" i="19"/>
  <c r="J45" i="19"/>
  <c r="I46" i="19"/>
  <c r="I47" i="19"/>
  <c r="I48" i="19"/>
  <c r="I45" i="19"/>
  <c r="I42" i="19"/>
  <c r="I43" i="19"/>
  <c r="I44" i="19"/>
  <c r="J38" i="21"/>
  <c r="D47" i="21"/>
  <c r="D46" i="21"/>
  <c r="G80" i="10"/>
  <c r="H26" i="24"/>
  <c r="I26" i="24" s="1"/>
  <c r="H24" i="24"/>
  <c r="H25" i="24"/>
  <c r="I22" i="24"/>
  <c r="I23" i="24"/>
  <c r="I24" i="24"/>
  <c r="I25" i="24"/>
  <c r="G23" i="24"/>
  <c r="G24" i="24"/>
  <c r="G25" i="24"/>
  <c r="G26" i="24"/>
  <c r="F26" i="24"/>
  <c r="E26" i="24"/>
  <c r="E25" i="24"/>
  <c r="E24" i="24"/>
  <c r="E23" i="24"/>
  <c r="E12" i="24"/>
  <c r="E13" i="24"/>
  <c r="E11" i="24"/>
  <c r="C13" i="24"/>
  <c r="C12" i="24"/>
  <c r="C11" i="24"/>
  <c r="I14" i="24"/>
  <c r="G11" i="24"/>
  <c r="I11" i="24" s="1"/>
  <c r="G12" i="24"/>
  <c r="I12" i="24" s="1"/>
  <c r="G13" i="24"/>
  <c r="I13" i="24" s="1"/>
  <c r="G14" i="24"/>
  <c r="F14" i="24"/>
  <c r="E14" i="24"/>
  <c r="D14" i="24"/>
  <c r="C14" i="24"/>
  <c r="F52" i="24"/>
  <c r="E52" i="24"/>
  <c r="D52" i="24"/>
  <c r="K37" i="21"/>
  <c r="H37" i="21"/>
  <c r="J16" i="20"/>
  <c r="U18" i="4" l="1"/>
  <c r="U17" i="4"/>
  <c r="E20" i="12"/>
  <c r="F20" i="12" s="1"/>
  <c r="H65" i="13"/>
  <c r="H66" i="13"/>
  <c r="H67" i="13"/>
  <c r="H68" i="13"/>
  <c r="H69" i="13"/>
  <c r="H70" i="13"/>
  <c r="H71" i="13"/>
  <c r="H72" i="13"/>
  <c r="H73" i="13"/>
  <c r="H64" i="13"/>
  <c r="H58" i="13"/>
  <c r="E73" i="13"/>
  <c r="F73" i="13"/>
  <c r="G73" i="13"/>
  <c r="D73" i="13"/>
  <c r="D59" i="13"/>
  <c r="D62" i="13"/>
  <c r="G79" i="10"/>
  <c r="D17" i="2"/>
  <c r="F17" i="2" s="1"/>
  <c r="H17" i="2" s="1"/>
  <c r="E17" i="2"/>
  <c r="G17" i="2"/>
  <c r="D58" i="18"/>
  <c r="D59" i="18"/>
  <c r="D60" i="18"/>
  <c r="D61" i="18"/>
  <c r="D62" i="18"/>
  <c r="D63" i="18"/>
  <c r="D64" i="18"/>
  <c r="D65" i="18"/>
  <c r="D66" i="18"/>
  <c r="D67" i="18"/>
  <c r="D57" i="18"/>
  <c r="E58" i="18"/>
  <c r="J42" i="19"/>
  <c r="D68" i="18" l="1"/>
  <c r="I49" i="4"/>
  <c r="X15" i="4" s="1"/>
  <c r="G75" i="10"/>
  <c r="E26" i="11"/>
  <c r="X16" i="4"/>
  <c r="X17" i="4"/>
  <c r="X18" i="4"/>
  <c r="X14" i="4"/>
  <c r="I11" i="19"/>
  <c r="I12" i="19"/>
  <c r="I13" i="19"/>
  <c r="J13" i="19" s="1"/>
  <c r="I14" i="19"/>
  <c r="J14" i="19" s="1"/>
  <c r="I15" i="19"/>
  <c r="J15" i="19" s="1"/>
  <c r="I16" i="19"/>
  <c r="J16" i="19" s="1"/>
  <c r="I22" i="19"/>
  <c r="J22" i="19" s="1"/>
  <c r="I23" i="19"/>
  <c r="J23" i="19" s="1"/>
  <c r="I24" i="19"/>
  <c r="J24" i="19" s="1"/>
  <c r="I25" i="19"/>
  <c r="J25" i="19" s="1"/>
  <c r="I26" i="19"/>
  <c r="J26" i="19" s="1"/>
  <c r="I27" i="19"/>
  <c r="J27" i="19" s="1"/>
  <c r="G10" i="2" l="1"/>
  <c r="G6" i="2"/>
  <c r="D7" i="2"/>
  <c r="F7" i="2" s="1"/>
  <c r="E7" i="2"/>
  <c r="D8" i="2"/>
  <c r="E8" i="2"/>
  <c r="F8" i="2"/>
  <c r="D9" i="2"/>
  <c r="E9" i="2"/>
  <c r="F9" i="2"/>
  <c r="D10" i="2"/>
  <c r="F10" i="2" s="1"/>
  <c r="E10" i="2"/>
  <c r="H19" i="12"/>
  <c r="H18" i="12"/>
  <c r="E19" i="12"/>
  <c r="F19" i="12"/>
  <c r="G61" i="10"/>
  <c r="G72" i="10"/>
  <c r="G73" i="10"/>
  <c r="G74" i="10"/>
  <c r="G71" i="10"/>
  <c r="G24" i="11"/>
  <c r="D16" i="2"/>
  <c r="F16" i="2" s="1"/>
  <c r="E16" i="2"/>
  <c r="D15" i="2"/>
  <c r="K15" i="20"/>
  <c r="G28" i="19"/>
  <c r="I28" i="19" s="1"/>
  <c r="J28" i="19" s="1"/>
  <c r="G29" i="19"/>
  <c r="I29" i="19" s="1"/>
  <c r="K13" i="20"/>
  <c r="K14" i="20"/>
  <c r="K12" i="20"/>
  <c r="I47" i="4"/>
  <c r="F17" i="1"/>
  <c r="G22" i="11"/>
  <c r="E18" i="12"/>
  <c r="F18" i="12"/>
  <c r="G66" i="10"/>
  <c r="G65" i="10"/>
  <c r="F15" i="2"/>
  <c r="E15" i="2"/>
  <c r="M15" i="19" l="1"/>
  <c r="J29" i="19"/>
  <c r="F22" i="24"/>
  <c r="D49" i="24"/>
  <c r="D46" i="24"/>
  <c r="D43" i="24"/>
  <c r="F49" i="24"/>
  <c r="E49" i="24"/>
  <c r="F46" i="24"/>
  <c r="E46" i="24"/>
  <c r="F43" i="24"/>
  <c r="E43" i="24"/>
  <c r="G45" i="4"/>
  <c r="E45" i="4"/>
  <c r="D45" i="4"/>
  <c r="G60" i="10" l="1"/>
  <c r="E67" i="18"/>
  <c r="E66" i="18"/>
  <c r="F61" i="10"/>
  <c r="G59" i="10"/>
  <c r="G18" i="11"/>
  <c r="H16" i="12"/>
  <c r="F17" i="12" l="1"/>
  <c r="E17" i="12"/>
  <c r="E14" i="2"/>
  <c r="D14" i="2"/>
  <c r="F14" i="2" s="1"/>
  <c r="F20" i="24"/>
  <c r="F8" i="24"/>
  <c r="F21" i="24"/>
  <c r="F9" i="24"/>
  <c r="F10" i="24"/>
  <c r="F40" i="24"/>
  <c r="E40" i="24"/>
  <c r="D40" i="24"/>
  <c r="D20" i="24" l="1"/>
  <c r="D22" i="24"/>
  <c r="H22" i="24"/>
  <c r="D8" i="24"/>
  <c r="D9" i="24"/>
  <c r="F34" i="24"/>
  <c r="E34" i="24"/>
  <c r="D34" i="24"/>
  <c r="H21" i="24"/>
  <c r="U7" i="4" l="1"/>
  <c r="U8" i="4" s="1"/>
  <c r="U9" i="4" s="1"/>
  <c r="I39" i="4"/>
  <c r="I43" i="4"/>
  <c r="I45" i="4" s="1"/>
  <c r="I46" i="4" s="1"/>
  <c r="E13" i="2"/>
  <c r="D13" i="2"/>
  <c r="F13" i="2" s="1"/>
  <c r="U15" i="4" l="1"/>
  <c r="M16" i="1" s="1"/>
  <c r="U14" i="4"/>
  <c r="G48" i="10"/>
  <c r="G41" i="4"/>
  <c r="D41" i="4"/>
  <c r="E41" i="4"/>
  <c r="G36" i="13"/>
  <c r="F12" i="2"/>
  <c r="E12" i="2"/>
  <c r="D12" i="2"/>
  <c r="H16" i="11"/>
  <c r="F39" i="4" l="1"/>
  <c r="F40" i="4"/>
  <c r="I44" i="4" l="1"/>
  <c r="G47" i="10"/>
  <c r="G49" i="10" s="1"/>
  <c r="E43" i="10"/>
  <c r="G42" i="10"/>
  <c r="G41" i="10"/>
  <c r="E29" i="4"/>
  <c r="G29" i="4"/>
  <c r="F37" i="24"/>
  <c r="E37" i="24"/>
  <c r="D37" i="24"/>
  <c r="E11" i="2"/>
  <c r="G43" i="10" l="1"/>
  <c r="F43" i="10" s="1"/>
  <c r="N16" i="10" l="1"/>
  <c r="G16" i="2" l="1"/>
  <c r="H16" i="2" s="1"/>
  <c r="G15" i="2"/>
  <c r="H15" i="2" s="1"/>
  <c r="G14" i="2"/>
  <c r="H14" i="2" s="1"/>
  <c r="G13" i="2"/>
  <c r="H13" i="2" s="1"/>
  <c r="G12" i="2"/>
  <c r="H12" i="2" s="1"/>
  <c r="G11" i="2"/>
  <c r="N15" i="10"/>
  <c r="G30" i="21" l="1"/>
  <c r="D39" i="21"/>
  <c r="F11" i="1"/>
  <c r="E14" i="15" l="1"/>
  <c r="E17" i="15"/>
  <c r="H26" i="13" l="1"/>
  <c r="D26" i="13"/>
  <c r="E26" i="13"/>
  <c r="F26" i="13"/>
  <c r="G26" i="13"/>
  <c r="D29" i="4"/>
  <c r="D24" i="4"/>
  <c r="E24" i="4"/>
  <c r="G24" i="4"/>
  <c r="D36" i="13" l="1"/>
  <c r="E36" i="13"/>
  <c r="F36" i="13"/>
  <c r="H29" i="13"/>
  <c r="H30" i="13"/>
  <c r="H31" i="13"/>
  <c r="H32" i="13"/>
  <c r="H33" i="13"/>
  <c r="H34" i="13"/>
  <c r="H35" i="13"/>
  <c r="H28" i="13"/>
  <c r="I27" i="4"/>
  <c r="I28" i="4"/>
  <c r="F27" i="4"/>
  <c r="H27" i="4" s="1"/>
  <c r="F28" i="4"/>
  <c r="H28" i="4" s="1"/>
  <c r="G30" i="10"/>
  <c r="G29" i="10"/>
  <c r="G24" i="10"/>
  <c r="G23" i="10"/>
  <c r="G18" i="10"/>
  <c r="G17" i="10"/>
  <c r="N14" i="10"/>
  <c r="I10" i="19"/>
  <c r="J10" i="19" s="1"/>
  <c r="J11" i="19"/>
  <c r="J12" i="19"/>
  <c r="H36" i="13" l="1"/>
  <c r="I8" i="19"/>
  <c r="J8" i="19" s="1"/>
  <c r="I9" i="19"/>
  <c r="J9" i="19" s="1"/>
  <c r="I7" i="19"/>
  <c r="J7" i="19" s="1"/>
  <c r="E6" i="2"/>
  <c r="G10" i="4"/>
  <c r="F7" i="4"/>
  <c r="F8" i="4"/>
  <c r="F9" i="4"/>
  <c r="F6" i="4"/>
  <c r="B15" i="19"/>
  <c r="B43" i="19"/>
  <c r="B44" i="19"/>
  <c r="B45" i="19"/>
  <c r="H9" i="12" l="1"/>
  <c r="F8" i="12"/>
  <c r="E8" i="12"/>
  <c r="F16" i="13" l="1"/>
  <c r="D16" i="13"/>
  <c r="D10" i="4"/>
  <c r="D15" i="4"/>
  <c r="I9" i="4"/>
  <c r="I8" i="4"/>
  <c r="I7" i="4"/>
  <c r="I6" i="4"/>
  <c r="K10" i="4"/>
  <c r="H10" i="4"/>
  <c r="G18" i="13"/>
  <c r="G16" i="13"/>
  <c r="H6" i="13"/>
  <c r="F31" i="10"/>
  <c r="I10" i="4" l="1"/>
  <c r="I11" i="4" s="1"/>
  <c r="U6" i="4" s="1"/>
  <c r="F10" i="4"/>
  <c r="K11" i="4" s="1"/>
  <c r="G81" i="10" l="1"/>
  <c r="B7" i="19" l="1"/>
  <c r="B8" i="19"/>
  <c r="B9" i="19"/>
  <c r="B10" i="19"/>
  <c r="B11" i="19"/>
  <c r="B12" i="19"/>
  <c r="B13" i="19"/>
  <c r="B14" i="19"/>
  <c r="D48" i="4" l="1"/>
  <c r="E48" i="4"/>
  <c r="G48" i="4"/>
  <c r="H21" i="21" l="1"/>
  <c r="H20" i="21"/>
  <c r="G20" i="21"/>
  <c r="I17" i="20"/>
  <c r="K17" i="20" s="1"/>
  <c r="N13" i="10" l="1"/>
  <c r="D6" i="2"/>
  <c r="F14" i="1"/>
  <c r="H41" i="4"/>
  <c r="I40" i="4"/>
  <c r="I41" i="4" s="1"/>
  <c r="I42" i="4" s="1"/>
  <c r="E62" i="18" l="1"/>
  <c r="D45" i="13"/>
  <c r="E45" i="13"/>
  <c r="F45" i="13"/>
  <c r="H44" i="13"/>
  <c r="H43" i="13"/>
  <c r="F49" i="13"/>
  <c r="E49" i="13"/>
  <c r="D49" i="13"/>
  <c r="H42" i="13" l="1"/>
  <c r="H45" i="13" s="1"/>
  <c r="H46" i="13" s="1"/>
  <c r="N12" i="13" s="1"/>
  <c r="G45" i="13"/>
  <c r="G33" i="4"/>
  <c r="F40" i="13" l="1"/>
  <c r="D33" i="4"/>
  <c r="E33" i="4"/>
  <c r="I32" i="4" l="1"/>
  <c r="I31" i="4"/>
  <c r="I35" i="4"/>
  <c r="E40" i="13"/>
  <c r="D40" i="13"/>
  <c r="H39" i="13"/>
  <c r="I9" i="20"/>
  <c r="K9" i="20" s="1"/>
  <c r="H38" i="13" l="1"/>
  <c r="H40" i="13" s="1"/>
  <c r="H41" i="13" s="1"/>
  <c r="G40" i="13"/>
  <c r="R10" i="1" l="1"/>
  <c r="H8" i="1"/>
  <c r="H9" i="1"/>
  <c r="H10" i="1"/>
  <c r="H11" i="1"/>
  <c r="H12" i="1"/>
  <c r="H13" i="1"/>
  <c r="H14" i="1"/>
  <c r="H15" i="1"/>
  <c r="H16" i="1"/>
  <c r="H17" i="1"/>
  <c r="H18" i="1"/>
  <c r="H19" i="1"/>
  <c r="D11" i="2"/>
  <c r="I7" i="20"/>
  <c r="K7" i="20" s="1"/>
  <c r="I6" i="20"/>
  <c r="K6" i="20" s="1"/>
  <c r="F10" i="1" l="1"/>
  <c r="E60" i="18"/>
  <c r="E59" i="18"/>
  <c r="Y8" i="4" l="1"/>
  <c r="Y7" i="4"/>
  <c r="G21" i="13" l="1"/>
  <c r="E13" i="10"/>
  <c r="F13" i="10"/>
  <c r="G9" i="10"/>
  <c r="G8" i="10"/>
  <c r="D25" i="3"/>
  <c r="E16" i="13" l="1"/>
  <c r="H15" i="13"/>
  <c r="H14" i="13"/>
  <c r="H13" i="13"/>
  <c r="H12" i="13"/>
  <c r="H11" i="13"/>
  <c r="H10" i="13"/>
  <c r="H9" i="13"/>
  <c r="H8" i="13"/>
  <c r="H7" i="13"/>
  <c r="H16" i="13" l="1"/>
  <c r="H17" i="13" s="1"/>
  <c r="N6" i="13" s="1"/>
  <c r="I26" i="11"/>
  <c r="D53" i="13"/>
  <c r="E53" i="13"/>
  <c r="F53" i="13"/>
  <c r="K6" i="13" l="1"/>
  <c r="J26" i="11"/>
  <c r="K26" i="11" s="1"/>
  <c r="F16" i="1"/>
  <c r="F32" i="15" l="1"/>
  <c r="H10" i="21" l="1"/>
  <c r="M45" i="21" l="1"/>
  <c r="M44" i="21"/>
  <c r="M43" i="21"/>
  <c r="M42" i="21"/>
  <c r="M41" i="21"/>
  <c r="M40" i="21"/>
  <c r="M39" i="21"/>
  <c r="M38" i="21"/>
  <c r="M37" i="21"/>
  <c r="M36" i="21"/>
  <c r="M35" i="21"/>
  <c r="M34" i="21"/>
  <c r="M33" i="21"/>
  <c r="M32" i="21"/>
  <c r="M31" i="21"/>
  <c r="M30" i="21"/>
  <c r="M29" i="21"/>
  <c r="M28" i="21"/>
  <c r="M27" i="21"/>
  <c r="M26" i="21"/>
  <c r="M25" i="21"/>
  <c r="M24" i="21"/>
  <c r="M23" i="21"/>
  <c r="M22" i="21"/>
  <c r="M21" i="21"/>
  <c r="M20" i="21"/>
  <c r="M19" i="21"/>
  <c r="M18" i="21"/>
  <c r="M17" i="21"/>
  <c r="M16" i="21"/>
  <c r="M15" i="21"/>
  <c r="M14" i="21"/>
  <c r="M13" i="21"/>
  <c r="M12" i="21"/>
  <c r="N9" i="21"/>
  <c r="M9" i="21"/>
  <c r="D9" i="21"/>
  <c r="D10" i="21" s="1"/>
  <c r="D11" i="21" s="1"/>
  <c r="D12" i="21" s="1"/>
  <c r="D13" i="21" s="1"/>
  <c r="D14" i="21" s="1"/>
  <c r="D15" i="21" s="1"/>
  <c r="D16" i="21" s="1"/>
  <c r="D17" i="21" s="1"/>
  <c r="D19" i="21" s="1"/>
  <c r="D20" i="21" s="1"/>
  <c r="D21" i="21" s="1"/>
  <c r="D22" i="21" s="1"/>
  <c r="D23" i="21" s="1"/>
  <c r="D24" i="21" s="1"/>
  <c r="D25" i="21" s="1"/>
  <c r="D26" i="21" s="1"/>
  <c r="D27" i="21" s="1"/>
  <c r="D28" i="21" s="1"/>
  <c r="D29" i="21" s="1"/>
  <c r="D30" i="21" s="1"/>
  <c r="D31" i="21" s="1"/>
  <c r="D32" i="21" s="1"/>
  <c r="D33" i="21" s="1"/>
  <c r="D34" i="21" s="1"/>
  <c r="D35" i="21" s="1"/>
  <c r="D36" i="21" s="1"/>
  <c r="D37" i="21" s="1"/>
  <c r="D38" i="21" s="1"/>
  <c r="D40" i="21" s="1"/>
  <c r="D41" i="21" s="1"/>
  <c r="D42" i="21" s="1"/>
  <c r="D43" i="21" s="1"/>
  <c r="D44" i="21" s="1"/>
  <c r="D45" i="21" s="1"/>
  <c r="D48" i="21" s="1"/>
  <c r="D49" i="21" s="1"/>
  <c r="D50" i="21" s="1"/>
  <c r="D51" i="21" s="1"/>
  <c r="D52" i="21" s="1"/>
  <c r="D53" i="21" s="1"/>
  <c r="D54" i="21" s="1"/>
  <c r="D55" i="21" s="1"/>
  <c r="F48" i="4" l="1"/>
  <c r="H9" i="21"/>
  <c r="J9" i="21" l="1"/>
  <c r="K9" i="21"/>
  <c r="L9" i="21" s="1"/>
  <c r="I9" i="21" s="1"/>
  <c r="G10" i="21" l="1"/>
  <c r="K17" i="21" l="1"/>
  <c r="K16" i="21"/>
  <c r="K15" i="21"/>
  <c r="K14" i="21"/>
  <c r="K13" i="21"/>
  <c r="K12" i="21"/>
  <c r="K11" i="21"/>
  <c r="K10" i="21"/>
  <c r="L10" i="21" s="1"/>
  <c r="G11" i="21" s="1"/>
  <c r="H11" i="21" s="1"/>
  <c r="K45" i="21"/>
  <c r="K44" i="21"/>
  <c r="K43" i="21"/>
  <c r="K42" i="21"/>
  <c r="K41" i="21"/>
  <c r="K36" i="21"/>
  <c r="K32" i="21"/>
  <c r="K28" i="21"/>
  <c r="K40" i="21"/>
  <c r="K35" i="21"/>
  <c r="K33" i="21"/>
  <c r="K31" i="21"/>
  <c r="K29" i="21"/>
  <c r="K27" i="21"/>
  <c r="K25" i="21"/>
  <c r="K23" i="21"/>
  <c r="K21" i="21"/>
  <c r="K19" i="21"/>
  <c r="K39" i="21"/>
  <c r="K38" i="21"/>
  <c r="K34" i="21"/>
  <c r="K30" i="21"/>
  <c r="K20" i="21"/>
  <c r="K26" i="21"/>
  <c r="K24" i="21"/>
  <c r="K22" i="21"/>
  <c r="K18" i="21"/>
  <c r="J11" i="21" l="1"/>
  <c r="L11" i="21" s="1"/>
  <c r="G52" i="13" l="1"/>
  <c r="H52" i="13" s="1"/>
  <c r="G54" i="10"/>
  <c r="G53" i="10"/>
  <c r="H12" i="12"/>
  <c r="R11" i="1"/>
  <c r="G51" i="13" l="1"/>
  <c r="H51" i="13" s="1"/>
  <c r="G13" i="10"/>
  <c r="E15" i="12" l="1"/>
  <c r="I16" i="11"/>
  <c r="F41" i="4" l="1"/>
  <c r="F15" i="12"/>
  <c r="H13" i="12" l="1"/>
  <c r="H14" i="12"/>
  <c r="N10" i="10" l="1"/>
  <c r="F12" i="1" l="1"/>
  <c r="G37" i="10" l="1"/>
  <c r="F25" i="10"/>
  <c r="G25" i="10"/>
  <c r="E57" i="18"/>
  <c r="D22" i="13"/>
  <c r="E22" i="13"/>
  <c r="G20" i="4"/>
  <c r="E20" i="4"/>
  <c r="D20" i="4"/>
  <c r="G19" i="10"/>
  <c r="E19" i="10"/>
  <c r="G31" i="10" l="1"/>
  <c r="D10" i="3" l="1"/>
  <c r="L8" i="10"/>
  <c r="O6" i="13"/>
  <c r="L20" i="4"/>
  <c r="I24" i="20" l="1"/>
  <c r="K24" i="20" s="1"/>
  <c r="I22" i="20"/>
  <c r="K22" i="20" s="1"/>
  <c r="I21" i="20"/>
  <c r="K21" i="20" s="1"/>
  <c r="I18" i="20"/>
  <c r="K18" i="20" s="1"/>
  <c r="I16" i="20"/>
  <c r="K16" i="20" s="1"/>
  <c r="I11" i="20"/>
  <c r="K11" i="20" s="1"/>
  <c r="I10" i="20"/>
  <c r="K10" i="20" s="1"/>
  <c r="I8" i="20"/>
  <c r="K8" i="20" s="1"/>
  <c r="M18" i="19"/>
  <c r="M16" i="19"/>
  <c r="M12" i="19"/>
  <c r="M8" i="19"/>
  <c r="N16" i="19" l="1"/>
  <c r="O16" i="19" s="1"/>
  <c r="N15" i="19"/>
  <c r="O15" i="19" s="1"/>
  <c r="N18" i="19"/>
  <c r="O18" i="19" s="1"/>
  <c r="N12" i="19"/>
  <c r="O12" i="19" s="1"/>
  <c r="N8" i="19"/>
  <c r="O8" i="19" s="1"/>
  <c r="R16" i="19"/>
  <c r="S12" i="19"/>
  <c r="R13" i="19"/>
  <c r="S16" i="19"/>
  <c r="R17" i="19"/>
  <c r="R10" i="19"/>
  <c r="S13" i="19"/>
  <c r="S17" i="19"/>
  <c r="S8" i="19"/>
  <c r="R7" i="19"/>
  <c r="S10" i="19"/>
  <c r="R11" i="19"/>
  <c r="S7" i="19"/>
  <c r="R8" i="19"/>
  <c r="S11" i="19"/>
  <c r="R12" i="19"/>
  <c r="R9" i="19" l="1"/>
  <c r="M7" i="19"/>
  <c r="T16" i="19"/>
  <c r="T12" i="19"/>
  <c r="T13" i="19"/>
  <c r="T7" i="19"/>
  <c r="T8" i="19"/>
  <c r="T17" i="19"/>
  <c r="T11" i="19"/>
  <c r="T10" i="19"/>
  <c r="S9" i="19" l="1"/>
  <c r="T9" i="19" s="1"/>
  <c r="N7" i="19"/>
  <c r="O7" i="19" s="1"/>
  <c r="H17" i="12" l="1"/>
  <c r="E59" i="13" l="1"/>
  <c r="E67" i="10"/>
  <c r="D56" i="13"/>
  <c r="E56" i="13"/>
  <c r="G56" i="13"/>
  <c r="H59" i="13" l="1"/>
  <c r="N20" i="11"/>
  <c r="N22" i="11"/>
  <c r="I20" i="11"/>
  <c r="J20" i="11" s="1"/>
  <c r="I22" i="11"/>
  <c r="J22" i="11" s="1"/>
  <c r="K20" i="11" l="1"/>
  <c r="O20" i="11" s="1"/>
  <c r="K22" i="11"/>
  <c r="O22" i="11" s="1"/>
  <c r="D16" i="1" s="1"/>
  <c r="H55" i="13" l="1"/>
  <c r="H56" i="13" s="1"/>
  <c r="H57" i="13" s="1"/>
  <c r="F56" i="13"/>
  <c r="N9" i="10"/>
  <c r="N8" i="10"/>
  <c r="F19" i="10"/>
  <c r="E55" i="10" l="1"/>
  <c r="F23" i="15"/>
  <c r="F13" i="1" s="1"/>
  <c r="Y13" i="4"/>
  <c r="E49" i="10" l="1"/>
  <c r="H53" i="13" l="1"/>
  <c r="H54" i="13" s="1"/>
  <c r="N14" i="13" s="1"/>
  <c r="G53" i="13"/>
  <c r="F49" i="10"/>
  <c r="E37" i="10"/>
  <c r="F37" i="10" s="1"/>
  <c r="G37" i="4"/>
  <c r="E37" i="4"/>
  <c r="D37" i="4"/>
  <c r="I33" i="4"/>
  <c r="I34" i="4" s="1"/>
  <c r="X11" i="4" s="1"/>
  <c r="H49" i="13" l="1"/>
  <c r="G49" i="13"/>
  <c r="F45" i="18"/>
  <c r="F46" i="18" s="1"/>
  <c r="F47" i="18" s="1"/>
  <c r="F48" i="18" s="1"/>
  <c r="F49" i="18" s="1"/>
  <c r="F50" i="18" s="1"/>
  <c r="F51" i="18" s="1"/>
  <c r="F52" i="18" s="1"/>
  <c r="F53" i="18" s="1"/>
  <c r="F54" i="18" s="1"/>
  <c r="F55" i="18" s="1"/>
  <c r="F56" i="18" s="1"/>
  <c r="F33" i="18"/>
  <c r="F34" i="18" s="1"/>
  <c r="F35" i="18" s="1"/>
  <c r="F36" i="18" s="1"/>
  <c r="F37" i="18" s="1"/>
  <c r="F38" i="18" s="1"/>
  <c r="F39" i="18" s="1"/>
  <c r="F40" i="18" s="1"/>
  <c r="F41" i="18" s="1"/>
  <c r="F42" i="18" s="1"/>
  <c r="P19" i="1" l="1"/>
  <c r="P10" i="1"/>
  <c r="Y9" i="4" l="1"/>
  <c r="H20" i="12"/>
  <c r="H15" i="12"/>
  <c r="I15" i="12" s="1"/>
  <c r="K15" i="12" s="1"/>
  <c r="H11" i="12" l="1"/>
  <c r="H10" i="12"/>
  <c r="N8" i="11" l="1"/>
  <c r="N6" i="11" l="1"/>
  <c r="G55" i="10" l="1"/>
  <c r="F55" i="10" s="1"/>
  <c r="N12" i="10" l="1"/>
  <c r="F22" i="13" l="1"/>
  <c r="H27" i="13" l="1"/>
  <c r="N9" i="13" s="1"/>
  <c r="L7" i="10" l="1"/>
  <c r="H21" i="13" l="1"/>
  <c r="G22" i="13"/>
  <c r="H22" i="13" l="1"/>
  <c r="H23" i="13" s="1"/>
  <c r="N8" i="13" s="1"/>
  <c r="E19" i="13"/>
  <c r="D19" i="13"/>
  <c r="H18" i="13" l="1"/>
  <c r="F19" i="13"/>
  <c r="H19" i="13" l="1"/>
  <c r="G19" i="13"/>
  <c r="D20" i="3" l="1"/>
  <c r="D21" i="3" s="1"/>
  <c r="D15" i="3"/>
  <c r="D16" i="3" s="1"/>
  <c r="E9" i="12" l="1"/>
  <c r="E10" i="12"/>
  <c r="E11" i="12"/>
  <c r="E12" i="12"/>
  <c r="F26" i="4" s="1"/>
  <c r="E13" i="12"/>
  <c r="E14" i="12"/>
  <c r="E16" i="12"/>
  <c r="R19" i="1"/>
  <c r="F19" i="1"/>
  <c r="N7" i="10"/>
  <c r="F36" i="4" l="1"/>
  <c r="F35" i="4"/>
  <c r="F18" i="4"/>
  <c r="H18" i="4" s="1"/>
  <c r="I18" i="4" s="1"/>
  <c r="F17" i="4"/>
  <c r="F19" i="4"/>
  <c r="H19" i="4" s="1"/>
  <c r="I19" i="4" s="1"/>
  <c r="F31" i="4"/>
  <c r="F32" i="4"/>
  <c r="F13" i="12"/>
  <c r="I13" i="12" s="1"/>
  <c r="K13" i="12" s="1"/>
  <c r="F14" i="12"/>
  <c r="F10" i="12"/>
  <c r="I10" i="12" s="1"/>
  <c r="K10" i="12" s="1"/>
  <c r="N9" i="1" s="1"/>
  <c r="F12" i="12"/>
  <c r="I12" i="12" s="1"/>
  <c r="K12" i="12" s="1"/>
  <c r="F16" i="12"/>
  <c r="F11" i="12"/>
  <c r="F9" i="12"/>
  <c r="I9" i="12" s="1"/>
  <c r="K9" i="12" s="1"/>
  <c r="N8" i="1" s="1"/>
  <c r="F33" i="4" l="1"/>
  <c r="F20" i="4"/>
  <c r="N11" i="10"/>
  <c r="N26" i="11" l="1"/>
  <c r="O26" i="11" s="1"/>
  <c r="D18" i="1" s="1"/>
  <c r="N28" i="11"/>
  <c r="K19" i="16" l="1"/>
  <c r="I20" i="12"/>
  <c r="K20" i="12" l="1"/>
  <c r="J20" i="12"/>
  <c r="F81" i="10" l="1"/>
  <c r="I19" i="12" l="1"/>
  <c r="K19" i="12" s="1"/>
  <c r="N18" i="1" s="1"/>
  <c r="R18" i="1"/>
  <c r="K18" i="16"/>
  <c r="F62" i="13"/>
  <c r="E62" i="13"/>
  <c r="H61" i="13"/>
  <c r="J19" i="12" l="1"/>
  <c r="H62" i="13"/>
  <c r="G62" i="13"/>
  <c r="K16" i="16"/>
  <c r="K17" i="16"/>
  <c r="F67" i="10"/>
  <c r="I18" i="12"/>
  <c r="K18" i="12" s="1"/>
  <c r="N17" i="1" s="1"/>
  <c r="J18" i="12" l="1"/>
  <c r="G67" i="10"/>
  <c r="R17" i="1"/>
  <c r="R16" i="1" l="1"/>
  <c r="I17" i="12" l="1"/>
  <c r="K17" i="12" s="1"/>
  <c r="J17" i="12" l="1"/>
  <c r="K15" i="16" l="1"/>
  <c r="I16" i="12"/>
  <c r="K16" i="12" s="1"/>
  <c r="R15" i="1"/>
  <c r="J16" i="12" l="1"/>
  <c r="N15" i="1"/>
  <c r="D10" i="24" s="1"/>
  <c r="K14" i="16"/>
  <c r="R14" i="1"/>
  <c r="J15" i="12" l="1"/>
  <c r="F21" i="18"/>
  <c r="F22" i="18" s="1"/>
  <c r="F23" i="18" s="1"/>
  <c r="F24" i="18" s="1"/>
  <c r="F25" i="18" s="1"/>
  <c r="F26" i="18" s="1"/>
  <c r="F27" i="18" s="1"/>
  <c r="F28" i="18" s="1"/>
  <c r="F29" i="18" s="1"/>
  <c r="F30" i="18" s="1"/>
  <c r="F31" i="18" s="1"/>
  <c r="F32" i="18" s="1"/>
  <c r="F9" i="18"/>
  <c r="F10" i="18" s="1"/>
  <c r="F11" i="18" s="1"/>
  <c r="F12" i="18" s="1"/>
  <c r="F13" i="18" s="1"/>
  <c r="F14" i="18" s="1"/>
  <c r="F15" i="18" s="1"/>
  <c r="F16" i="18" s="1"/>
  <c r="F17" i="18" s="1"/>
  <c r="F18" i="18" s="1"/>
  <c r="F19" i="18" s="1"/>
  <c r="F20" i="18" s="1"/>
  <c r="R13" i="1" l="1"/>
  <c r="I14" i="12" l="1"/>
  <c r="H23" i="15"/>
  <c r="G23" i="15"/>
  <c r="H13" i="16"/>
  <c r="E23" i="15"/>
  <c r="D23" i="15"/>
  <c r="H20" i="15"/>
  <c r="G20" i="15"/>
  <c r="E20" i="15"/>
  <c r="P12" i="1" s="1"/>
  <c r="D20" i="15"/>
  <c r="E61" i="18" s="1"/>
  <c r="K13" i="16"/>
  <c r="G13" i="16" l="1"/>
  <c r="P13" i="1"/>
  <c r="K14" i="12"/>
  <c r="J14" i="12"/>
  <c r="H12" i="16" l="1"/>
  <c r="G12" i="16"/>
  <c r="R12" i="1"/>
  <c r="N13" i="1" l="1"/>
  <c r="N14" i="1"/>
  <c r="N16" i="1"/>
  <c r="N19" i="1"/>
  <c r="K12" i="16"/>
  <c r="H41" i="15"/>
  <c r="G41" i="15"/>
  <c r="F41" i="15"/>
  <c r="H19" i="16" s="1"/>
  <c r="E41" i="15"/>
  <c r="G19" i="16" s="1"/>
  <c r="D41" i="15"/>
  <c r="E68" i="18" s="1"/>
  <c r="H38" i="15"/>
  <c r="G38" i="15"/>
  <c r="F38" i="15"/>
  <c r="E38" i="15"/>
  <c r="D38" i="15"/>
  <c r="H35" i="15"/>
  <c r="G35" i="15"/>
  <c r="F35" i="15"/>
  <c r="E35" i="15"/>
  <c r="D35" i="15"/>
  <c r="H32" i="15"/>
  <c r="G32" i="15"/>
  <c r="E32" i="15"/>
  <c r="D32" i="15"/>
  <c r="E65" i="18" s="1"/>
  <c r="H29" i="15"/>
  <c r="G29" i="15"/>
  <c r="F29" i="15"/>
  <c r="E29" i="15"/>
  <c r="D29" i="15"/>
  <c r="E64" i="18" s="1"/>
  <c r="H26" i="15"/>
  <c r="G26" i="15"/>
  <c r="F26" i="15"/>
  <c r="H14" i="16" s="1"/>
  <c r="E26" i="15"/>
  <c r="D26" i="15"/>
  <c r="E63" i="18" s="1"/>
  <c r="H17" i="15"/>
  <c r="G17" i="15"/>
  <c r="F17" i="15"/>
  <c r="H14" i="15"/>
  <c r="G14" i="15"/>
  <c r="F14" i="15"/>
  <c r="G10" i="16"/>
  <c r="H11" i="15"/>
  <c r="G11" i="15"/>
  <c r="F11" i="15"/>
  <c r="E11" i="15"/>
  <c r="P9" i="1" s="1"/>
  <c r="D11" i="15"/>
  <c r="H8" i="15"/>
  <c r="G8" i="15"/>
  <c r="F8" i="15"/>
  <c r="E8" i="15"/>
  <c r="D8" i="15"/>
  <c r="F57" i="18" s="1"/>
  <c r="F58" i="18" s="1"/>
  <c r="F59" i="18" s="1"/>
  <c r="F60" i="18" s="1"/>
  <c r="F61" i="18" s="1"/>
  <c r="F62" i="18" s="1"/>
  <c r="D18" i="3"/>
  <c r="F6" i="2" s="1"/>
  <c r="D12" i="3"/>
  <c r="D13" i="3" s="1"/>
  <c r="D8" i="3"/>
  <c r="Y6" i="4"/>
  <c r="Y10" i="4"/>
  <c r="Y11" i="4"/>
  <c r="Y12" i="4"/>
  <c r="Y14" i="4"/>
  <c r="Y15" i="4"/>
  <c r="Y16" i="4"/>
  <c r="O7" i="13"/>
  <c r="O8" i="13"/>
  <c r="O9" i="13"/>
  <c r="O10" i="13"/>
  <c r="O11" i="13"/>
  <c r="O12" i="13"/>
  <c r="O13" i="13"/>
  <c r="O14" i="13"/>
  <c r="O15" i="13"/>
  <c r="O16" i="13"/>
  <c r="O17" i="13"/>
  <c r="O18" i="13"/>
  <c r="F63" i="18" l="1"/>
  <c r="F64" i="18" s="1"/>
  <c r="F65" i="18"/>
  <c r="F66" i="18" s="1"/>
  <c r="F67" i="18" s="1"/>
  <c r="F68" i="18" s="1"/>
  <c r="G15" i="16"/>
  <c r="P15" i="1"/>
  <c r="G14" i="16"/>
  <c r="P14" i="1"/>
  <c r="G8" i="16"/>
  <c r="P8" i="1"/>
  <c r="H8" i="16"/>
  <c r="F8" i="1"/>
  <c r="G18" i="16"/>
  <c r="P18" i="1"/>
  <c r="H18" i="16"/>
  <c r="F18" i="1"/>
  <c r="H17" i="16"/>
  <c r="G17" i="16"/>
  <c r="P17" i="1"/>
  <c r="G16" i="16"/>
  <c r="P16" i="1"/>
  <c r="H15" i="16"/>
  <c r="F15" i="1"/>
  <c r="H11" i="16"/>
  <c r="G11" i="16"/>
  <c r="P11" i="1"/>
  <c r="H16" i="16"/>
  <c r="H10" i="16"/>
  <c r="H9" i="16"/>
  <c r="F9" i="1"/>
  <c r="G9" i="16"/>
  <c r="F11" i="2"/>
  <c r="H11" i="2" s="1"/>
  <c r="K11" i="2" s="1"/>
  <c r="K12" i="2"/>
  <c r="K16" i="2"/>
  <c r="K17" i="2"/>
  <c r="K15" i="2"/>
  <c r="O17" i="2"/>
  <c r="O16" i="2"/>
  <c r="O15" i="2"/>
  <c r="O14" i="2"/>
  <c r="O13" i="2"/>
  <c r="O12" i="2"/>
  <c r="O11" i="2"/>
  <c r="O10" i="2"/>
  <c r="K14" i="2" l="1"/>
  <c r="K13" i="2"/>
  <c r="G19" i="19" s="1"/>
  <c r="I19" i="19" s="1"/>
  <c r="J19" i="19" s="1"/>
  <c r="H10" i="2" l="1"/>
  <c r="K10" i="2" s="1"/>
  <c r="Y17" i="4"/>
  <c r="Y18" i="4"/>
  <c r="E20" i="8" l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8" i="8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K11" i="16" l="1"/>
  <c r="N12" i="1" l="1"/>
  <c r="J13" i="12"/>
  <c r="K10" i="16" l="1"/>
  <c r="N11" i="1" l="1"/>
  <c r="J12" i="12"/>
  <c r="I8" i="12" l="1"/>
  <c r="K8" i="12" s="1"/>
  <c r="H26" i="4"/>
  <c r="H29" i="4" l="1"/>
  <c r="F29" i="4"/>
  <c r="J8" i="12"/>
  <c r="E6" i="16" l="1"/>
  <c r="I26" i="4"/>
  <c r="I29" i="4" l="1"/>
  <c r="I30" i="4" s="1"/>
  <c r="X10" i="4" s="1"/>
  <c r="L34" i="4"/>
  <c r="U11" i="4" l="1"/>
  <c r="U12" i="4" s="1"/>
  <c r="U10" i="4"/>
  <c r="J9" i="12"/>
  <c r="N11" i="13"/>
  <c r="N15" i="13" l="1"/>
  <c r="H37" i="13"/>
  <c r="N10" i="13" s="1"/>
  <c r="K11" i="13" s="1"/>
  <c r="K12" i="13" s="1"/>
  <c r="H50" i="13"/>
  <c r="N13" i="13" s="1"/>
  <c r="H60" i="13"/>
  <c r="H63" i="13"/>
  <c r="N17" i="13" s="1"/>
  <c r="K13" i="13" l="1"/>
  <c r="N16" i="13"/>
  <c r="F7" i="16"/>
  <c r="E57" i="4"/>
  <c r="D57" i="4"/>
  <c r="E54" i="4"/>
  <c r="D54" i="4"/>
  <c r="E51" i="4"/>
  <c r="D51" i="4"/>
  <c r="E7" i="16"/>
  <c r="C7" i="16"/>
  <c r="K16" i="13" l="1"/>
  <c r="K17" i="13"/>
  <c r="C14" i="1"/>
  <c r="C21" i="24" s="1"/>
  <c r="K14" i="13"/>
  <c r="K15" i="13" s="1"/>
  <c r="C16" i="1" s="1"/>
  <c r="D7" i="16"/>
  <c r="I50" i="4"/>
  <c r="I53" i="4"/>
  <c r="I36" i="4"/>
  <c r="I37" i="4" s="1"/>
  <c r="I56" i="4"/>
  <c r="C15" i="1" l="1"/>
  <c r="C22" i="24" s="1"/>
  <c r="I57" i="4"/>
  <c r="I51" i="4"/>
  <c r="I52" i="4" s="1"/>
  <c r="I38" i="4"/>
  <c r="X12" i="4" s="1"/>
  <c r="I54" i="4"/>
  <c r="I55" i="4" s="1"/>
  <c r="M12" i="1"/>
  <c r="G54" i="4"/>
  <c r="G57" i="4"/>
  <c r="I48" i="4" l="1"/>
  <c r="M19" i="1"/>
  <c r="I58" i="4"/>
  <c r="U16" i="4"/>
  <c r="M17" i="1" s="1"/>
  <c r="X13" i="4"/>
  <c r="U13" i="4" s="1"/>
  <c r="L81" i="4"/>
  <c r="L84" i="4"/>
  <c r="L87" i="4" s="1"/>
  <c r="L90" i="4" s="1"/>
  <c r="L93" i="4" s="1"/>
  <c r="L96" i="4" s="1"/>
  <c r="L99" i="4" s="1"/>
  <c r="L102" i="4" s="1"/>
  <c r="L105" i="4" s="1"/>
  <c r="M18" i="1" l="1"/>
  <c r="C17" i="1"/>
  <c r="C18" i="1"/>
  <c r="M14" i="1"/>
  <c r="C9" i="24" s="1"/>
  <c r="K9" i="16"/>
  <c r="K8" i="16"/>
  <c r="M15" i="1" l="1"/>
  <c r="R9" i="1"/>
  <c r="R8" i="1"/>
  <c r="E15" i="4"/>
  <c r="E32" i="8"/>
  <c r="O15" i="1" l="1"/>
  <c r="E10" i="24" s="1"/>
  <c r="G10" i="24" s="1"/>
  <c r="I10" i="24" s="1"/>
  <c r="C10" i="24"/>
  <c r="F43" i="18"/>
  <c r="F44" i="18" s="1"/>
  <c r="I11" i="12"/>
  <c r="K11" i="12" s="1"/>
  <c r="N10" i="1" s="1"/>
  <c r="E33" i="8"/>
  <c r="E34" i="8" s="1"/>
  <c r="E35" i="8" s="1"/>
  <c r="E36" i="8" s="1"/>
  <c r="E37" i="8" s="1"/>
  <c r="E38" i="8" s="1"/>
  <c r="E39" i="8" s="1"/>
  <c r="E40" i="8" s="1"/>
  <c r="E41" i="8" s="1"/>
  <c r="E42" i="8" s="1"/>
  <c r="E43" i="8" s="1"/>
  <c r="H22" i="4" l="1"/>
  <c r="F24" i="4"/>
  <c r="H23" i="4"/>
  <c r="F8" i="16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D8" i="16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J11" i="12"/>
  <c r="I23" i="4" l="1"/>
  <c r="H24" i="4"/>
  <c r="I22" i="4"/>
  <c r="I24" i="4" l="1"/>
  <c r="I25" i="4" s="1"/>
  <c r="H20" i="13"/>
  <c r="N7" i="13" s="1"/>
  <c r="K7" i="13" s="1"/>
  <c r="C8" i="1" s="1"/>
  <c r="N10" i="11"/>
  <c r="N12" i="11"/>
  <c r="N14" i="11"/>
  <c r="N16" i="11"/>
  <c r="N18" i="11"/>
  <c r="N24" i="11"/>
  <c r="I6" i="11"/>
  <c r="I10" i="11"/>
  <c r="J10" i="11" s="1"/>
  <c r="I12" i="11"/>
  <c r="J12" i="11" s="1"/>
  <c r="K12" i="11" s="1"/>
  <c r="I14" i="11"/>
  <c r="J16" i="11"/>
  <c r="I18" i="11"/>
  <c r="I24" i="11"/>
  <c r="J24" i="11" s="1"/>
  <c r="I28" i="11"/>
  <c r="J14" i="11" l="1"/>
  <c r="K14" i="11" s="1"/>
  <c r="O14" i="11" s="1"/>
  <c r="D12" i="1" s="1"/>
  <c r="X9" i="4"/>
  <c r="K10" i="11"/>
  <c r="J6" i="11"/>
  <c r="K6" i="11" s="1"/>
  <c r="O6" i="11" s="1"/>
  <c r="J18" i="11"/>
  <c r="K18" i="11" s="1"/>
  <c r="O18" i="11" s="1"/>
  <c r="D14" i="1" s="1"/>
  <c r="D21" i="24" s="1"/>
  <c r="J28" i="11"/>
  <c r="K28" i="11" s="1"/>
  <c r="O28" i="11" s="1"/>
  <c r="D19" i="1" s="1"/>
  <c r="L71" i="4"/>
  <c r="D15" i="1"/>
  <c r="E15" i="1" s="1"/>
  <c r="O12" i="11"/>
  <c r="D11" i="1" s="1"/>
  <c r="K24" i="11"/>
  <c r="K16" i="11"/>
  <c r="O16" i="11" s="1"/>
  <c r="E22" i="24" l="1"/>
  <c r="G22" i="24" s="1"/>
  <c r="D13" i="1"/>
  <c r="O10" i="11"/>
  <c r="D10" i="1" s="1"/>
  <c r="O24" i="11"/>
  <c r="D17" i="1" s="1"/>
  <c r="K8" i="13"/>
  <c r="E16" i="1"/>
  <c r="G16" i="1" s="1"/>
  <c r="I16" i="1" s="1"/>
  <c r="O9" i="2"/>
  <c r="O8" i="2"/>
  <c r="H9" i="2"/>
  <c r="H8" i="2"/>
  <c r="K8" i="2" s="1"/>
  <c r="O7" i="2"/>
  <c r="O6" i="2"/>
  <c r="H7" i="2"/>
  <c r="C9" i="1" l="1"/>
  <c r="K9" i="13"/>
  <c r="C10" i="1" s="1"/>
  <c r="K9" i="2"/>
  <c r="H17" i="4"/>
  <c r="H20" i="4" s="1"/>
  <c r="H6" i="2"/>
  <c r="K7" i="2"/>
  <c r="K6" i="2" l="1"/>
  <c r="I17" i="4"/>
  <c r="J10" i="12"/>
  <c r="F15" i="4"/>
  <c r="H15" i="4" l="1"/>
  <c r="I14" i="4"/>
  <c r="I15" i="4" s="1"/>
  <c r="G15" i="4"/>
  <c r="E8" i="16" l="1"/>
  <c r="E9" i="16" s="1"/>
  <c r="E10" i="16" s="1"/>
  <c r="E11" i="16" s="1"/>
  <c r="E12" i="16" s="1"/>
  <c r="E13" i="16" s="1"/>
  <c r="E14" i="16" s="1"/>
  <c r="E15" i="16" s="1"/>
  <c r="E16" i="16" s="1"/>
  <c r="C8" i="16"/>
  <c r="C9" i="16" s="1"/>
  <c r="C10" i="16" s="1"/>
  <c r="I16" i="4"/>
  <c r="I20" i="4" l="1"/>
  <c r="I21" i="4" s="1"/>
  <c r="X8" i="4" s="1"/>
  <c r="X7" i="4"/>
  <c r="M8" i="1" s="1"/>
  <c r="O8" i="1" s="1"/>
  <c r="E17" i="16"/>
  <c r="C11" i="16"/>
  <c r="L10" i="16"/>
  <c r="L9" i="16"/>
  <c r="L55" i="4"/>
  <c r="D8" i="1"/>
  <c r="E8" i="1" s="1"/>
  <c r="M9" i="1" l="1"/>
  <c r="O9" i="1" s="1"/>
  <c r="Q9" i="1" s="1"/>
  <c r="E18" i="16"/>
  <c r="E19" i="16" s="1"/>
  <c r="L11" i="16"/>
  <c r="C12" i="16"/>
  <c r="Q8" i="1"/>
  <c r="G8" i="1"/>
  <c r="I8" i="1" l="1"/>
  <c r="L6" i="2" s="1"/>
  <c r="S9" i="1"/>
  <c r="M7" i="2" s="1"/>
  <c r="S8" i="1"/>
  <c r="M6" i="2" s="1"/>
  <c r="M13" i="1"/>
  <c r="C8" i="24" s="1"/>
  <c r="L12" i="16"/>
  <c r="C13" i="16"/>
  <c r="M10" i="1" l="1"/>
  <c r="O10" i="1" s="1"/>
  <c r="Q10" i="1" s="1"/>
  <c r="S10" i="1" s="1"/>
  <c r="M8" i="2" s="1"/>
  <c r="O12" i="1"/>
  <c r="Q12" i="1" s="1"/>
  <c r="S12" i="1" s="1"/>
  <c r="M10" i="2" s="1"/>
  <c r="M11" i="1"/>
  <c r="O11" i="1" s="1"/>
  <c r="Q11" i="1" s="1"/>
  <c r="S11" i="1" s="1"/>
  <c r="M9" i="2" s="1"/>
  <c r="N6" i="2"/>
  <c r="P6" i="2" s="1"/>
  <c r="O13" i="1"/>
  <c r="L13" i="16"/>
  <c r="C14" i="16"/>
  <c r="M10" i="19" l="1"/>
  <c r="N11" i="19"/>
  <c r="M11" i="19"/>
  <c r="M9" i="19"/>
  <c r="Q13" i="1"/>
  <c r="S13" i="1" s="1"/>
  <c r="M11" i="2" s="1"/>
  <c r="E8" i="24"/>
  <c r="G8" i="24" s="1"/>
  <c r="I8" i="24" s="1"/>
  <c r="O14" i="1"/>
  <c r="E9" i="24" s="1"/>
  <c r="G9" i="24" s="1"/>
  <c r="I9" i="24" s="1"/>
  <c r="L14" i="16"/>
  <c r="C15" i="16"/>
  <c r="L8" i="16"/>
  <c r="O11" i="19" l="1"/>
  <c r="N9" i="19"/>
  <c r="O9" i="19" s="1"/>
  <c r="Q14" i="1"/>
  <c r="Q15" i="1"/>
  <c r="L15" i="16"/>
  <c r="C16" i="16"/>
  <c r="S14" i="1" l="1"/>
  <c r="M12" i="2" s="1"/>
  <c r="G17" i="19" s="1"/>
  <c r="I17" i="19" s="1"/>
  <c r="J17" i="19" s="1"/>
  <c r="S15" i="1"/>
  <c r="M13" i="2" s="1"/>
  <c r="G21" i="19" s="1"/>
  <c r="I21" i="19" s="1"/>
  <c r="J21" i="19" s="1"/>
  <c r="O16" i="1"/>
  <c r="Q16" i="1" s="1"/>
  <c r="C17" i="16"/>
  <c r="L16" i="16"/>
  <c r="S16" i="1" l="1"/>
  <c r="M14" i="2" s="1"/>
  <c r="O17" i="1"/>
  <c r="Q17" i="1" s="1"/>
  <c r="C18" i="16"/>
  <c r="L17" i="16"/>
  <c r="S17" i="1" l="1"/>
  <c r="M15" i="2" s="1"/>
  <c r="O18" i="1"/>
  <c r="Q18" i="1" s="1"/>
  <c r="O19" i="1"/>
  <c r="Q19" i="1" s="1"/>
  <c r="L18" i="16"/>
  <c r="C19" i="16"/>
  <c r="L19" i="16" s="1"/>
  <c r="S19" i="1" l="1"/>
  <c r="M17" i="2" s="1"/>
  <c r="S18" i="1"/>
  <c r="M16" i="2" s="1"/>
  <c r="H20" i="20" s="1"/>
  <c r="I20" i="20" s="1"/>
  <c r="K20" i="20" s="1"/>
  <c r="K10" i="13" l="1"/>
  <c r="E10" i="1"/>
  <c r="G10" i="1" s="1"/>
  <c r="C11" i="1" l="1"/>
  <c r="E11" i="1" s="1"/>
  <c r="G11" i="1" s="1"/>
  <c r="I11" i="1" s="1"/>
  <c r="I10" i="1"/>
  <c r="C13" i="1" l="1"/>
  <c r="C12" i="1"/>
  <c r="E12" i="1" s="1"/>
  <c r="G12" i="1" s="1"/>
  <c r="I12" i="1" s="1"/>
  <c r="L9" i="2"/>
  <c r="N9" i="2" s="1"/>
  <c r="P9" i="2" s="1"/>
  <c r="L8" i="2"/>
  <c r="N8" i="2" s="1"/>
  <c r="P8" i="2" s="1"/>
  <c r="E13" i="1" l="1"/>
  <c r="C20" i="24"/>
  <c r="L10" i="2"/>
  <c r="N10" i="2" s="1"/>
  <c r="P10" i="2" s="1"/>
  <c r="E14" i="1"/>
  <c r="E21" i="24" s="1"/>
  <c r="G21" i="24" s="1"/>
  <c r="I21" i="24" s="1"/>
  <c r="G13" i="1" l="1"/>
  <c r="I13" i="1" s="1"/>
  <c r="L11" i="2" s="1"/>
  <c r="N11" i="2" s="1"/>
  <c r="P11" i="2" s="1"/>
  <c r="E20" i="24"/>
  <c r="G20" i="24" s="1"/>
  <c r="I20" i="24" s="1"/>
  <c r="G14" i="1"/>
  <c r="I14" i="1" s="1"/>
  <c r="G15" i="1"/>
  <c r="I15" i="1" s="1"/>
  <c r="L13" i="2" s="1"/>
  <c r="G20" i="19" s="1"/>
  <c r="I20" i="19" s="1"/>
  <c r="J20" i="19" s="1"/>
  <c r="R15" i="19" l="1"/>
  <c r="M14" i="19"/>
  <c r="L12" i="2"/>
  <c r="G18" i="19" s="1"/>
  <c r="I18" i="19" s="1"/>
  <c r="J18" i="19" s="1"/>
  <c r="N14" i="19" l="1"/>
  <c r="O14" i="19" s="1"/>
  <c r="S15" i="19"/>
  <c r="T15" i="19" s="1"/>
  <c r="M13" i="19"/>
  <c r="R14" i="19"/>
  <c r="N12" i="2"/>
  <c r="P12" i="2" s="1"/>
  <c r="N13" i="2"/>
  <c r="P13" i="2" s="1"/>
  <c r="L14" i="2"/>
  <c r="N14" i="2" s="1"/>
  <c r="E17" i="1"/>
  <c r="G17" i="1" l="1"/>
  <c r="I17" i="1" s="1"/>
  <c r="L15" i="2" s="1"/>
  <c r="N15" i="2" s="1"/>
  <c r="P15" i="2" s="1"/>
  <c r="N11" i="21" s="1"/>
  <c r="M11" i="21" s="1"/>
  <c r="G12" i="21" s="1"/>
  <c r="H12" i="21" s="1"/>
  <c r="S14" i="19"/>
  <c r="N13" i="19"/>
  <c r="P14" i="2"/>
  <c r="N10" i="21" s="1"/>
  <c r="M10" i="21" s="1"/>
  <c r="E18" i="1"/>
  <c r="G18" i="1" s="1"/>
  <c r="I18" i="1" s="1"/>
  <c r="L16" i="2" s="1"/>
  <c r="H19" i="20" s="1"/>
  <c r="I19" i="20" s="1"/>
  <c r="K19" i="20" s="1"/>
  <c r="I8" i="11"/>
  <c r="J8" i="11" s="1"/>
  <c r="R18" i="19" l="1"/>
  <c r="R19" i="19" s="1"/>
  <c r="M17" i="19"/>
  <c r="M19" i="19" s="1"/>
  <c r="T14" i="19"/>
  <c r="O13" i="19"/>
  <c r="J12" i="21"/>
  <c r="L12" i="21" s="1"/>
  <c r="I12" i="21" s="1"/>
  <c r="K8" i="11"/>
  <c r="O8" i="11" s="1"/>
  <c r="D9" i="1" s="1"/>
  <c r="E9" i="1" s="1"/>
  <c r="G9" i="1" s="1"/>
  <c r="I9" i="1" s="1"/>
  <c r="L7" i="2" s="1"/>
  <c r="N17" i="19" l="1"/>
  <c r="O17" i="19" s="1"/>
  <c r="N16" i="2"/>
  <c r="P16" i="2" s="1"/>
  <c r="G13" i="21"/>
  <c r="H13" i="21" s="1"/>
  <c r="N7" i="2"/>
  <c r="P7" i="2" s="1"/>
  <c r="J13" i="21" l="1"/>
  <c r="L13" i="21" s="1"/>
  <c r="I13" i="21" s="1"/>
  <c r="G14" i="21" l="1"/>
  <c r="H14" i="21" s="1"/>
  <c r="J14" i="21" s="1"/>
  <c r="L14" i="21" s="1"/>
  <c r="I14" i="21" l="1"/>
  <c r="G15" i="21" s="1"/>
  <c r="H15" i="21" s="1"/>
  <c r="J15" i="21" s="1"/>
  <c r="L15" i="21" s="1"/>
  <c r="I15" i="21" s="1"/>
  <c r="G16" i="21" l="1"/>
  <c r="H16" i="21" s="1"/>
  <c r="J16" i="21" l="1"/>
  <c r="L16" i="21" s="1"/>
  <c r="I16" i="21" s="1"/>
  <c r="G17" i="21" l="1"/>
  <c r="H17" i="21" s="1"/>
  <c r="J17" i="21" l="1"/>
  <c r="L17" i="21" s="1"/>
  <c r="I17" i="21" s="1"/>
  <c r="G18" i="21" l="1"/>
  <c r="H18" i="21" s="1"/>
  <c r="J18" i="21" l="1"/>
  <c r="L18" i="21" s="1"/>
  <c r="I18" i="21" s="1"/>
  <c r="G19" i="21" l="1"/>
  <c r="H19" i="21" s="1"/>
  <c r="J19" i="21" l="1"/>
  <c r="L19" i="21" s="1"/>
  <c r="I19" i="21" s="1"/>
  <c r="J20" i="21" l="1"/>
  <c r="L20" i="21" l="1"/>
  <c r="I20" i="21" s="1"/>
  <c r="G21" i="21" l="1"/>
  <c r="J21" i="21" l="1"/>
  <c r="L21" i="21" s="1"/>
  <c r="I21" i="21" l="1"/>
  <c r="G22" i="21"/>
  <c r="H22" i="21" s="1"/>
  <c r="J22" i="21" l="1"/>
  <c r="L22" i="21" s="1"/>
  <c r="I22" i="21" s="1"/>
  <c r="G23" i="21" l="1"/>
  <c r="H23" i="21" s="1"/>
  <c r="J23" i="21" l="1"/>
  <c r="L23" i="21" s="1"/>
  <c r="I23" i="21" s="1"/>
  <c r="G24" i="21" l="1"/>
  <c r="H24" i="21" s="1"/>
  <c r="J24" i="21" l="1"/>
  <c r="L24" i="21" s="1"/>
  <c r="I24" i="21" s="1"/>
  <c r="G25" i="21" l="1"/>
  <c r="H25" i="21" s="1"/>
  <c r="J25" i="21" l="1"/>
  <c r="L25" i="21" s="1"/>
  <c r="I25" i="21" s="1"/>
  <c r="G26" i="21" l="1"/>
  <c r="H26" i="21" s="1"/>
  <c r="J26" i="21" l="1"/>
  <c r="L26" i="21" s="1"/>
  <c r="I26" i="21" s="1"/>
  <c r="G27" i="21" l="1"/>
  <c r="H27" i="21" s="1"/>
  <c r="J27" i="21" l="1"/>
  <c r="L27" i="21" s="1"/>
  <c r="I27" i="21" s="1"/>
  <c r="G28" i="21" l="1"/>
  <c r="H28" i="21" s="1"/>
  <c r="J28" i="21" l="1"/>
  <c r="L28" i="21" s="1"/>
  <c r="I28" i="21" s="1"/>
  <c r="G29" i="21" l="1"/>
  <c r="H29" i="21" s="1"/>
  <c r="J29" i="21" l="1"/>
  <c r="L29" i="21" s="1"/>
  <c r="I29" i="21" s="1"/>
  <c r="H30" i="21" l="1"/>
  <c r="J30" i="21" l="1"/>
  <c r="L30" i="21" s="1"/>
  <c r="I30" i="21" s="1"/>
  <c r="G31" i="21" l="1"/>
  <c r="H31" i="21" s="1"/>
  <c r="J31" i="21" l="1"/>
  <c r="L31" i="21" s="1"/>
  <c r="I31" i="21" s="1"/>
  <c r="G32" i="21" l="1"/>
  <c r="H32" i="21" s="1"/>
  <c r="J32" i="21" l="1"/>
  <c r="L32" i="21" s="1"/>
  <c r="I32" i="21" s="1"/>
  <c r="G33" i="21" l="1"/>
  <c r="H33" i="21" s="1"/>
  <c r="J33" i="21" l="1"/>
  <c r="L33" i="21" s="1"/>
  <c r="I33" i="21" s="1"/>
  <c r="G34" i="21" l="1"/>
  <c r="H34" i="21" s="1"/>
  <c r="J34" i="21" l="1"/>
  <c r="L34" i="21" s="1"/>
  <c r="I34" i="21" s="1"/>
  <c r="G35" i="21" l="1"/>
  <c r="H35" i="21" s="1"/>
  <c r="J35" i="21" l="1"/>
  <c r="L35" i="21" s="1"/>
  <c r="I35" i="21" s="1"/>
  <c r="G36" i="21" s="1"/>
  <c r="H36" i="21" s="1"/>
  <c r="J36" i="21" l="1"/>
  <c r="L36" i="21" s="1"/>
  <c r="I36" i="21" s="1"/>
  <c r="G37" i="21" l="1"/>
  <c r="J37" i="21" l="1"/>
  <c r="L37" i="21" s="1"/>
  <c r="I37" i="21" s="1"/>
  <c r="G38" i="21" l="1"/>
  <c r="H38" i="21" s="1"/>
  <c r="L38" i="21" l="1"/>
  <c r="I38" i="21" s="1"/>
  <c r="G39" i="21" l="1"/>
  <c r="H39" i="21" s="1"/>
  <c r="J39" i="21" l="1"/>
  <c r="L39" i="21" s="1"/>
  <c r="I39" i="21" s="1"/>
  <c r="G40" i="21" l="1"/>
  <c r="H40" i="21" s="1"/>
  <c r="J40" i="21" l="1"/>
  <c r="L40" i="21" s="1"/>
  <c r="I40" i="21" s="1"/>
  <c r="G41" i="21" l="1"/>
  <c r="H41" i="21" s="1"/>
  <c r="J41" i="21" l="1"/>
  <c r="L41" i="21" s="1"/>
  <c r="I41" i="21" s="1"/>
  <c r="G42" i="21" l="1"/>
  <c r="H42" i="21" s="1"/>
  <c r="J42" i="21" l="1"/>
  <c r="L42" i="21" s="1"/>
  <c r="I42" i="21" s="1"/>
  <c r="G43" i="21" l="1"/>
  <c r="H43" i="21" s="1"/>
  <c r="J43" i="21" l="1"/>
  <c r="L43" i="21" s="1"/>
  <c r="I43" i="21" s="1"/>
  <c r="G44" i="21" l="1"/>
  <c r="H44" i="21" s="1"/>
  <c r="J44" i="21" l="1"/>
  <c r="L44" i="21" s="1"/>
  <c r="I44" i="21" s="1"/>
  <c r="G45" i="21" l="1"/>
  <c r="H45" i="21" s="1"/>
  <c r="J45" i="21" s="1"/>
  <c r="L45" i="21" s="1"/>
  <c r="I45" i="21" s="1"/>
  <c r="N10" i="19"/>
  <c r="O10" i="19" s="1"/>
  <c r="O19" i="19" s="1"/>
  <c r="S18" i="19"/>
  <c r="T18" i="19" s="1"/>
  <c r="T19" i="19" s="1"/>
  <c r="N19" i="19" l="1"/>
  <c r="S19" i="19"/>
  <c r="H74" i="13"/>
  <c r="N18" i="13"/>
  <c r="K18" i="13" s="1"/>
  <c r="C19" i="1" s="1"/>
  <c r="E19" i="1" s="1"/>
  <c r="G19" i="1" s="1"/>
  <c r="I19" i="1" s="1"/>
  <c r="L17" i="2" l="1"/>
  <c r="N17" i="2" s="1"/>
  <c r="P1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Kauane Araujo Silva</author>
    <author>Emy Moromizato</author>
    <author>Gabriela Mota</author>
  </authors>
  <commentList>
    <comment ref="H16" authorId="0" shapeId="0" xr:uid="{EA3F326F-9B56-400D-A521-07ECA747C2F9}">
      <text>
        <r>
          <rPr>
            <b/>
            <sz val="9"/>
            <color indexed="81"/>
            <rFont val="Segoe UI"/>
            <family val="2"/>
          </rPr>
          <t>CDE:</t>
        </r>
        <r>
          <rPr>
            <sz val="9"/>
            <color indexed="81"/>
            <rFont val="Segoe UI"/>
            <family val="2"/>
          </rPr>
          <t xml:space="preserve">
Valor não foi publicado até 11
11/07/2025.</t>
        </r>
      </text>
    </comment>
    <comment ref="G18" authorId="1" shapeId="0" xr:uid="{8FF13A12-F468-44C8-866F-601A8F08C702}">
      <text>
        <r>
          <rPr>
            <b/>
            <sz val="9"/>
            <color indexed="81"/>
            <rFont val="Segoe UI"/>
            <family val="2"/>
          </rPr>
          <t xml:space="preserve">média ponderada pois não saiu os valores dos últimos dias
</t>
        </r>
      </text>
    </comment>
    <comment ref="G22" authorId="2" shapeId="0" xr:uid="{CDFE44E5-F8CE-4BBD-88A6-16BEDC9BB7B3}">
      <text>
        <r>
          <rPr>
            <b/>
            <sz val="9"/>
            <color indexed="81"/>
            <rFont val="Segoe UI"/>
            <family val="2"/>
          </rPr>
          <t>média ponderada pois não saiu os valores dos últimos dias.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24" authorId="2" shapeId="0" xr:uid="{2900069E-C718-4651-B4F0-654F1C460469}">
      <text>
        <r>
          <rPr>
            <b/>
            <sz val="9"/>
            <color indexed="81"/>
            <rFont val="Segoe UI"/>
            <family val="2"/>
          </rPr>
          <t>média ponderada pois não saiu os valores dos últimos dias.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6" authorId="1" shapeId="0" xr:uid="{57963D3A-D1E4-4F2A-8F6A-A837C19B757E}">
      <text>
        <r>
          <rPr>
            <b/>
            <sz val="9"/>
            <color indexed="81"/>
            <rFont val="Segoe UI"/>
            <family val="2"/>
          </rPr>
          <t>Média Ponderada pois não foi publicado o valor do dia 10/11/25 a 26/11/25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Kauane Araujo Silva</author>
  </authors>
  <commentList>
    <comment ref="M9" authorId="0" shapeId="0" xr:uid="{F8318D98-B711-4C70-B46E-8B041A35C151}">
      <text>
        <r>
          <rPr>
            <b/>
            <sz val="9"/>
            <color indexed="81"/>
            <rFont val="Segoe UI"/>
            <family val="2"/>
          </rPr>
          <t xml:space="preserve">CCEE: Valor limite para desconto sobre o reembolso.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<sst xmlns="http://schemas.openxmlformats.org/spreadsheetml/2006/main" count="768" uniqueCount="335">
  <si>
    <t>Calculado  ANP</t>
  </si>
  <si>
    <t>Utilizado para Reembolso (R$)</t>
  </si>
  <si>
    <t>Qtde SCE (kg)</t>
  </si>
  <si>
    <t>Preço Unitário Líquido</t>
  </si>
  <si>
    <t>ÓLEO COMBUSTÍVEL</t>
  </si>
  <si>
    <t>ÓLEO DIESEL</t>
  </si>
  <si>
    <t>% Eficiência Energética</t>
  </si>
  <si>
    <t>Subtotal (R$)</t>
  </si>
  <si>
    <t>Valor Unit (R$)</t>
  </si>
  <si>
    <t>Qtde comprada ajustada (t)</t>
  </si>
  <si>
    <t>Desconto de estoques anos anteriores (t) [2]</t>
  </si>
  <si>
    <t>Total (RS)</t>
  </si>
  <si>
    <t>Nº Rep</t>
  </si>
  <si>
    <t>TOTAL (R$)</t>
  </si>
  <si>
    <t>Total Carvão</t>
  </si>
  <si>
    <t>Total Óleo Diesel</t>
  </si>
  <si>
    <t>Limite Reembolso [3]</t>
  </si>
  <si>
    <t>Total Geral</t>
  </si>
  <si>
    <t xml:space="preserve">TOTAL REEMBOLSO CDE </t>
  </si>
  <si>
    <t>Referência</t>
  </si>
  <si>
    <t>Estoque Histórico (t)</t>
  </si>
  <si>
    <t>1/5 Estoque Histórico (t)</t>
  </si>
  <si>
    <t>1/12 de 1/5 Estoque Histórico (t)</t>
  </si>
  <si>
    <t xml:space="preserve">Ano </t>
  </si>
  <si>
    <t>1/12 Estoque ano anterior (t)</t>
  </si>
  <si>
    <t xml:space="preserve">Estoque estratégico </t>
  </si>
  <si>
    <t>1/12 Estoque estratégico</t>
  </si>
  <si>
    <t>Compra mínima</t>
  </si>
  <si>
    <t>Total de Reembolso (2013/14/15)</t>
  </si>
  <si>
    <t>2013/14/15 atualizados IPCA</t>
  </si>
  <si>
    <t>1/12 Total Reembolso</t>
  </si>
  <si>
    <t>Aplicação / Mês</t>
  </si>
  <si>
    <t>Motivo(s)</t>
  </si>
  <si>
    <t>Nº Reproc</t>
  </si>
  <si>
    <t>SAÍDA DE CAIXA</t>
  </si>
  <si>
    <t>Mês</t>
  </si>
  <si>
    <t>Semana 1</t>
  </si>
  <si>
    <t>Semana 2</t>
  </si>
  <si>
    <t>Semana 3</t>
  </si>
  <si>
    <t>Semana 4</t>
  </si>
  <si>
    <t>Semana 5</t>
  </si>
  <si>
    <t>Semana 6</t>
  </si>
  <si>
    <t>Média Ponderada Semana</t>
  </si>
  <si>
    <t>Preço  ANP Líq.</t>
  </si>
  <si>
    <t>Óleo Diesel</t>
  </si>
  <si>
    <t>Margem Distribuição</t>
  </si>
  <si>
    <t>Margem Média de Revenda</t>
  </si>
  <si>
    <t>Preço Médio Distribuição</t>
  </si>
  <si>
    <t>PREÇO ANP FINAL</t>
  </si>
  <si>
    <t>nº dias</t>
  </si>
  <si>
    <t>Combustível</t>
  </si>
  <si>
    <t>Data Pagamento ou Desconto</t>
  </si>
  <si>
    <t>Diferença</t>
  </si>
  <si>
    <t>Valor anterior</t>
  </si>
  <si>
    <t>Valor atual</t>
  </si>
  <si>
    <t>Diferença Atualizada</t>
  </si>
  <si>
    <t>COMPETÊNCIA</t>
  </si>
  <si>
    <t>Nº Reprocess (1)</t>
  </si>
  <si>
    <t>Consumo SCD</t>
  </si>
  <si>
    <t>Estoque inicial em 31/12/2017 =</t>
  </si>
  <si>
    <t>Média</t>
  </si>
  <si>
    <t>Valor sem ICMS</t>
  </si>
  <si>
    <t>Valor Líquido</t>
  </si>
  <si>
    <t>Valor PIS/COFINS</t>
  </si>
  <si>
    <t>Fornecedor</t>
  </si>
  <si>
    <t>Valor unitário</t>
  </si>
  <si>
    <t>N° NF</t>
  </si>
  <si>
    <t>Qtde (t)</t>
  </si>
  <si>
    <t>Valor total</t>
  </si>
  <si>
    <t>Total/Média</t>
  </si>
  <si>
    <t xml:space="preserve">Mês Referência: </t>
  </si>
  <si>
    <t>Valor ICMS</t>
  </si>
  <si>
    <t>Valor PIS COFINS</t>
  </si>
  <si>
    <t>Qtde (Kg)</t>
  </si>
  <si>
    <t>Total</t>
  </si>
  <si>
    <t>Preço Médio=</t>
  </si>
  <si>
    <t>Data</t>
  </si>
  <si>
    <t>Cálculo do Estoque "Anterior" - A-1</t>
  </si>
  <si>
    <t>Alíquota ICMS =</t>
  </si>
  <si>
    <t xml:space="preserve">Valor PIS/COFINS </t>
  </si>
  <si>
    <t>Data/Consumo</t>
  </si>
  <si>
    <t>Mês Referência</t>
  </si>
  <si>
    <t>Preço Médio</t>
  </si>
  <si>
    <t>Alíquota ICMS</t>
  </si>
  <si>
    <t>Usina</t>
  </si>
  <si>
    <t>Carvão (t)</t>
  </si>
  <si>
    <t>Óleo Diesel (m³)</t>
  </si>
  <si>
    <t>Óleo Combustível (t)</t>
  </si>
  <si>
    <t>TOTAL</t>
  </si>
  <si>
    <t>Ano</t>
  </si>
  <si>
    <t>COMPRA MÍNIMA VIGENTE</t>
  </si>
  <si>
    <t>COMPRA MÍNIMA 2002</t>
  </si>
  <si>
    <t>COMPRA MÍNIMA VIGENTE ANUAL</t>
  </si>
  <si>
    <t>COMPRA MÍNIMA 2002 ANUAL</t>
  </si>
  <si>
    <t>Valor ICMS (12%)</t>
  </si>
  <si>
    <t>PMPF 1a. quinzena</t>
  </si>
  <si>
    <t>PMPF 2a. quinzena</t>
  </si>
  <si>
    <t>Preço Médio ANP</t>
  </si>
  <si>
    <t>Envio das NF</t>
  </si>
  <si>
    <t>ICMS</t>
  </si>
  <si>
    <t>Valor PIS COFINS [1]</t>
  </si>
  <si>
    <t>Emissão</t>
  </si>
  <si>
    <t>Janeiro</t>
  </si>
  <si>
    <t>Fevereiro</t>
  </si>
  <si>
    <t>Tributos</t>
  </si>
  <si>
    <t>Valor PIS COFINS OD</t>
  </si>
  <si>
    <t>Valor PIS COFINS OC</t>
  </si>
  <si>
    <t>Valor ICMS OD</t>
  </si>
  <si>
    <t>Valor ICMS OC</t>
  </si>
  <si>
    <t>Competência</t>
  </si>
  <si>
    <t>ICMS             Recuperado</t>
  </si>
  <si>
    <t>PIS/COFINS             Recuperado</t>
  </si>
  <si>
    <t>Consumo OD</t>
  </si>
  <si>
    <t>Consumo OC</t>
  </si>
  <si>
    <t>Valor Base</t>
  </si>
  <si>
    <t>Contrato</t>
  </si>
  <si>
    <t>Preço Ponderado</t>
  </si>
  <si>
    <t>Data Limite</t>
  </si>
  <si>
    <t xml:space="preserve">Atualização </t>
  </si>
  <si>
    <t>Atualização</t>
  </si>
  <si>
    <t>Índice(IPCA)</t>
  </si>
  <si>
    <t>Valor Válido p/ Competência</t>
  </si>
  <si>
    <t>Não Recebido</t>
  </si>
  <si>
    <t>N/A</t>
  </si>
  <si>
    <t>Apurado - Notas Fiscais Recebidas</t>
  </si>
  <si>
    <t>Mês de competência</t>
  </si>
  <si>
    <t>Valor</t>
  </si>
  <si>
    <t>Valor Total</t>
  </si>
  <si>
    <t>Valor pago/descontado</t>
  </si>
  <si>
    <t>Mês/Ano Caixa</t>
  </si>
  <si>
    <t>Mês/Ano Competência</t>
  </si>
  <si>
    <t>CAIXA</t>
  </si>
  <si>
    <t>Data de Pagamento</t>
  </si>
  <si>
    <t>Indice de Atualização (IPCA)</t>
  </si>
  <si>
    <t>Total Óleo Combustível</t>
  </si>
  <si>
    <t>Março</t>
  </si>
  <si>
    <t>Reprocessamento</t>
  </si>
  <si>
    <t>Cálculo ICMS</t>
  </si>
  <si>
    <t>Cálculo valor líquido</t>
  </si>
  <si>
    <t>Preço Líquido Médio</t>
  </si>
  <si>
    <t>Valor Reprocessamento</t>
  </si>
  <si>
    <t>TOTALIZADOR</t>
  </si>
  <si>
    <t>Data Limite envio NF</t>
  </si>
  <si>
    <t>Data envio  NF</t>
  </si>
  <si>
    <t>Status Entrega NF</t>
  </si>
  <si>
    <t>Valor Válido - Competência</t>
  </si>
  <si>
    <t>Qtde Compra com Aplicação Redutor de Eficiência</t>
  </si>
  <si>
    <t>Informações colhidas no sítio eletrônico da ANP</t>
  </si>
  <si>
    <t>Significado cores colunas</t>
  </si>
  <si>
    <t>Datas, dados de Notas Fiscais e outros dados</t>
  </si>
  <si>
    <t>Dados retirados de outras abas da planilha</t>
  </si>
  <si>
    <t>Dados calculados</t>
  </si>
  <si>
    <t>Dados totalizadores</t>
  </si>
  <si>
    <t>Dados retirados de outras fontes</t>
  </si>
  <si>
    <t>Conteúdo das Abas</t>
  </si>
  <si>
    <t>NF carvão</t>
  </si>
  <si>
    <t>Secund</t>
  </si>
  <si>
    <t>NF Óleo Comb</t>
  </si>
  <si>
    <t>Carvâo &amp; Total</t>
  </si>
  <si>
    <t>ANP Óleo Comb</t>
  </si>
  <si>
    <t>NF Diesel</t>
  </si>
  <si>
    <t>ANP Diesel</t>
  </si>
  <si>
    <t>Parâmetros</t>
  </si>
  <si>
    <t>Reprocessamentos</t>
  </si>
  <si>
    <t>Financeiro</t>
  </si>
  <si>
    <t>SCD</t>
  </si>
  <si>
    <t>Resumo dos cálculos do reembolso do combustíveis secundários.</t>
  </si>
  <si>
    <t>Cálculos do valor de óleo combustível reembolsado, apurado por meio das Notas Fiscais, por competência mensal.</t>
  </si>
  <si>
    <t>Cálculos para obtenção do preço liquido ANP mensal.</t>
  </si>
  <si>
    <t>Cálculos do valor de óleo diesel reembolsado, apurado por meio das Notas Fiscais, por competência mensal.</t>
  </si>
  <si>
    <t>Reprocessamentos realizados no ano.</t>
  </si>
  <si>
    <t>Resumo de todos pagamentos realizados, por Regime de Competência e por Regime de Caixa.</t>
  </si>
  <si>
    <t>Verificar se houve carvão reembolsado e não consumido no ano.</t>
  </si>
  <si>
    <t>Informações de medição de geração e do consumo de carvão e dos combustíveis secundários registrados no SCD.</t>
  </si>
  <si>
    <t>Verificação da recuperação de tributos na compra de combustíveis para consideração no cálculo do reembolso.</t>
  </si>
  <si>
    <t>Resumo mensal do reembolso do carvão e dos combustíveis secundários.</t>
  </si>
  <si>
    <t>Notas fiscais de compra do carvão encaminhadas pelo beneficiário, para aquele ano.</t>
  </si>
  <si>
    <t>Dados da Nota técnica do Orçamento CDE Anual.</t>
  </si>
  <si>
    <t>*Apenas com fim de verificação, os dados não impactam nenhum cálculo</t>
  </si>
  <si>
    <r>
      <t xml:space="preserve">                  </t>
    </r>
    <r>
      <rPr>
        <b/>
        <sz val="14"/>
        <color rgb="FF002060"/>
        <rFont val="Calibri"/>
        <family val="2"/>
        <scheme val="minor"/>
      </rPr>
      <t>Estoque / Obrigação com CDE (Em toneladas de carvão)</t>
    </r>
  </si>
  <si>
    <t>CGTEEE/UPME/98-02026</t>
  </si>
  <si>
    <t>Riograndense</t>
  </si>
  <si>
    <t>¹ Estoque informado pelo beneficiário durante a realização do PAC.</t>
  </si>
  <si>
    <t>CANDIOTA</t>
  </si>
  <si>
    <t>Compra Mínima de Carvão (t)</t>
  </si>
  <si>
    <t>Consumo SCD (t)</t>
  </si>
  <si>
    <t>Carvão não consumido (Ano) (t)</t>
  </si>
  <si>
    <t>Para a apuração da Eficiência Energética solicitar a memória de cálculo via chamado</t>
  </si>
  <si>
    <t>Acompanhamento Ea-1</t>
  </si>
  <si>
    <t>*O cálculo do Ea-1 não exime o beneficiário de informar o estoque durante o rito orçamentário, os valores aqui dispostos têm o devido fim de verificação da compra minima reembolsada e não consumida. Ressalta-se que os valores aqui dispostos estão sujeitos a qualquer momento de fiscalização da Aneel.</t>
  </si>
  <si>
    <t>Compra Mínima (t)</t>
  </si>
  <si>
    <t>Ger. Bruta (MWh)</t>
  </si>
  <si>
    <t>Ger. Líquida (MWh)</t>
  </si>
  <si>
    <t>Qtde (L)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</si>
  <si>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</si>
  <si>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</si>
  <si>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</si>
  <si>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</si>
  <si>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</si>
  <si>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</si>
  <si>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</si>
  <si>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</si>
  <si>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</si>
  <si>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4800000098/2020</t>
  </si>
  <si>
    <t>Seival Sul</t>
  </si>
  <si>
    <t>Vigência Preço</t>
  </si>
  <si>
    <t>abr/20-mar/21</t>
  </si>
  <si>
    <t>mar/20-fev/21</t>
  </si>
  <si>
    <t>Valor Inicial (R$/t)</t>
  </si>
  <si>
    <t>-</t>
  </si>
  <si>
    <t>Fiscalização Ea-1 (Suspenso)</t>
  </si>
  <si>
    <t>abr/21-mar/22</t>
  </si>
  <si>
    <t>mai/21-abr/22</t>
  </si>
  <si>
    <t>Estoque Custeado CDE não consumido no ano anterior (2021) [Ea-₁]*</t>
  </si>
  <si>
    <t>abr/22-mar/23</t>
  </si>
  <si>
    <t>§ 10. No caso de reembolsos que ocorrerem com menos de um mês, a CCEE poderá utilizar o último valor publicado no Painel Dinâmico da ANP ou os valores publicados em planilha eletrônica no sítio “Preços de distribuição de combustíveis”, ou ainda, outra publicação da ANP com a mesma finalidade. (REN 1016/2022)</t>
  </si>
  <si>
    <t>% Eficiência Energética, conforme art. 17, REN 1016/2022</t>
  </si>
  <si>
    <r>
      <t xml:space="preserve">[1] </t>
    </r>
    <r>
      <rPr>
        <sz val="11"/>
        <color rgb="FF0E2050"/>
        <rFont val="Calibri"/>
        <family val="2"/>
        <scheme val="minor"/>
      </rPr>
      <t>Qtde comprada não pode ser superior à compra mínima (quantidade comprada em 2002)</t>
    </r>
  </si>
  <si>
    <r>
      <rPr>
        <b/>
        <sz val="11"/>
        <color rgb="FF0E2050"/>
        <rFont val="Calibri"/>
        <family val="2"/>
        <scheme val="minor"/>
      </rPr>
      <t>[2]</t>
    </r>
    <r>
      <rPr>
        <sz val="11"/>
        <color rgb="FF0E2050"/>
        <rFont val="Calibri"/>
        <family val="2"/>
        <scheme val="minor"/>
      </rPr>
      <t xml:space="preserve"> Qtde comprada retirando-se 1/5 estoque histórico e estoque do ano anterior; e adicionando estoque estratégico .</t>
    </r>
  </si>
  <si>
    <r>
      <t xml:space="preserve">[3] </t>
    </r>
    <r>
      <rPr>
        <sz val="11"/>
        <color rgb="FF0E2050"/>
        <rFont val="Calibri"/>
        <family val="2"/>
        <scheme val="minor"/>
      </rPr>
      <t>Limitado à media do reembolso atualizado efetuado em 2013/14/15 (inciso III, art. 12 da REN 1016/2022)</t>
    </r>
  </si>
  <si>
    <t>abr/23-mar/24</t>
  </si>
  <si>
    <t>Não há PIS/COFINS nas NFs de Óleo Diesel</t>
  </si>
  <si>
    <t>CGT Eletrosul</t>
  </si>
  <si>
    <t>Restituição ao Fundo CDE conforme DSP 3240/2023 (36 vezes). Limitado a 75% do reembolso.</t>
  </si>
  <si>
    <t xml:space="preserve">IPCA </t>
  </si>
  <si>
    <t>Índice</t>
  </si>
  <si>
    <t xml:space="preserve">Caixa </t>
  </si>
  <si>
    <t xml:space="preserve">Saldo Devedor </t>
  </si>
  <si>
    <t xml:space="preserve">Montante ATUALIZADO </t>
  </si>
  <si>
    <t>Saldo não Descontado</t>
  </si>
  <si>
    <t>ATUALIZAÇÃO IPCA</t>
  </si>
  <si>
    <t xml:space="preserve">Parcela </t>
  </si>
  <si>
    <t>Valor da Parcela Atualizado (IPCA)</t>
  </si>
  <si>
    <t>Limite 75%</t>
  </si>
  <si>
    <t xml:space="preserve"> Reembolso</t>
  </si>
  <si>
    <t>jan/2021²</t>
  </si>
  <si>
    <t xml:space="preserve">jan.21 a 08.23 </t>
  </si>
  <si>
    <t xml:space="preserve">²A 1ª parcela foi quitada em jan/23,logo após houve a suspenção do DSP 2616/2020 e em set/2023 o DSP 3240/2023 determinou o retorno da cobrança agora em 36 vezes. </t>
  </si>
  <si>
    <t>¹ Fonte: Relatório de Projeções LCA 29/09/2023.</t>
  </si>
  <si>
    <t>Fiscalização Ehist (CGTEE)</t>
  </si>
  <si>
    <t>Fiscalização CGT ELETROSUL DSP 2616/2020 e DSP 3240/2023 - Receber</t>
  </si>
  <si>
    <t>CGTEE/UPME/98-02026</t>
  </si>
  <si>
    <t>Valor Atualizado (R$/t)*</t>
  </si>
  <si>
    <t xml:space="preserve">abr/24-fev/25 </t>
  </si>
  <si>
    <t>jan/25</t>
  </si>
  <si>
    <t>jun-25</t>
  </si>
  <si>
    <t>¹</t>
  </si>
  <si>
    <t>²</t>
  </si>
  <si>
    <t>DSP 47.2024 - CONFAZ - ICMS 2025</t>
  </si>
  <si>
    <t>DSP 67.2023 - CONFAZ ICMS - 2024</t>
  </si>
  <si>
    <t>nov/25</t>
  </si>
  <si>
    <t xml:space="preserve"> Paramêtros NT Nº 187/2024-STR/ANEEL, de 05/12/2024.</t>
  </si>
  <si>
    <t>Aplicação em 2025</t>
  </si>
  <si>
    <t>Ano 2024</t>
  </si>
  <si>
    <t>fev/25</t>
  </si>
  <si>
    <t>mar/25</t>
  </si>
  <si>
    <t>abr/25</t>
  </si>
  <si>
    <t>mai/25</t>
  </si>
  <si>
    <t>jun/25</t>
  </si>
  <si>
    <t>jul/25</t>
  </si>
  <si>
    <t>ago/25</t>
  </si>
  <si>
    <t>set/25</t>
  </si>
  <si>
    <t>out/25</t>
  </si>
  <si>
    <t>dez/25</t>
  </si>
  <si>
    <t>AMBAR SUL ENERGIA S.A.</t>
  </si>
  <si>
    <t>Não Há NF</t>
  </si>
  <si>
    <t>Não há NF</t>
  </si>
  <si>
    <t xml:space="preserve">Carvão Mineral </t>
  </si>
  <si>
    <t xml:space="preserve">Óleo Diesel </t>
  </si>
  <si>
    <t xml:space="preserve">Óleo combustivel </t>
  </si>
  <si>
    <t xml:space="preserve">Óleo diesel </t>
  </si>
  <si>
    <t xml:space="preserve">Recálculo da eficiência de Candiota considerando a geração em teste em 2024. </t>
  </si>
  <si>
    <t>carvão mineral</t>
  </si>
  <si>
    <t xml:space="preserve">Reprocessamento Carvão Mineral </t>
  </si>
  <si>
    <t>fev/25-abr/25</t>
  </si>
  <si>
    <t>COMPANHIA RIOGRANDENSE DE MINERACAO CRM</t>
  </si>
  <si>
    <t>13610</t>
  </si>
  <si>
    <t>743</t>
  </si>
  <si>
    <t>07/04/2025</t>
  </si>
  <si>
    <t>13645</t>
  </si>
  <si>
    <t>746</t>
  </si>
  <si>
    <t>06/05/2025</t>
  </si>
  <si>
    <t>1309883</t>
  </si>
  <si>
    <t>1309890</t>
  </si>
  <si>
    <t>1310191</t>
  </si>
  <si>
    <t>1310192</t>
  </si>
  <si>
    <t>1310723</t>
  </si>
  <si>
    <t>1310762</t>
  </si>
  <si>
    <t>1311183</t>
  </si>
  <si>
    <t>1311271</t>
  </si>
  <si>
    <t>1306687</t>
  </si>
  <si>
    <t>1307519</t>
  </si>
  <si>
    <t>1307966</t>
  </si>
  <si>
    <t>abr/25-ago/25</t>
  </si>
  <si>
    <t>Consumo destinado à Exportação</t>
  </si>
  <si>
    <t>Subtotal 2 (R$)</t>
  </si>
  <si>
    <t>Exportação Carvão (t)</t>
  </si>
  <si>
    <t>Exportação 
Óleo Diesel (m³)</t>
  </si>
  <si>
    <t>Exportação
Óleo Combustível (t)</t>
  </si>
  <si>
    <t>* Atualização do preço de carvão mineral referente ao Contrato CGTEE/UPME/98-02026, 18º Termo aditivo.</t>
  </si>
  <si>
    <t xml:space="preserve">Reprocessamento da medição do carvão mineral infirmado pela empresa em jun/25, passando de 180565 t para 203219,958. </t>
  </si>
  <si>
    <t>Reprocessamento da medição do carvão mineral, competência jul/25 - CTS-10228</t>
  </si>
  <si>
    <t>Compra Mínima (t) [1]</t>
  </si>
  <si>
    <t>Reprocessamento da medição do carvão mineral, competência ago/25 - GEOP-4512</t>
  </si>
  <si>
    <t>Óleo Combustível</t>
  </si>
  <si>
    <t xml:space="preserve">Reprocessamento Óleo Combustível </t>
  </si>
  <si>
    <t>Reprocessamento Óleo diesel</t>
  </si>
  <si>
    <t xml:space="preserve">Reprocessamento da medição do carvão mineral informado pela empresa em 09/25, passando de 229612 t para  154.541 t. </t>
  </si>
  <si>
    <t>Reprocessamento da medição do óleo combustivel passando de 268,76 para 139,938 , competência 09/25 - CTS-10500</t>
  </si>
  <si>
    <t>Reprocessamento da medição do óleo diesel passando de 1206,94 para 43,920, competência 09/25 - CTS-10500</t>
  </si>
  <si>
    <t>Pagamentos -  Âmbar/J&amp;F - Candiota III*</t>
  </si>
  <si>
    <t>*Conforme DSP Aneel nº 2.158/2025 a titularidade da autorização da Central Geradora Termelétrica - UTE Candiota
III foi transferida  para a empresa sucessora J&amp;F S.A.(CNPJ 00.350.763/0001-62).</t>
  </si>
  <si>
    <t>Reembolso Âmbar/J&amp;F - Candiota III*</t>
  </si>
  <si>
    <t>Óleo Diesel -  Âmbar/J&amp;F - Candiota III*</t>
  </si>
  <si>
    <t>Óleo Combustível -  Âmbar/J&amp;F - Candiota III*</t>
  </si>
  <si>
    <t xml:space="preserve">                                        Carvão Reembolsado e Não consumido no ano anterior (Ea-1)* - Âmbar/J&amp;F - Candiota III**</t>
  </si>
  <si>
    <t xml:space="preserve">                                   SCD - Sistema de Coleta de Dados -  Âmbar/J&amp;F - Candiota III*</t>
  </si>
  <si>
    <t>Reprocessamentos - Âmbar/J&amp;F - Candiota III*</t>
  </si>
  <si>
    <t>**Conforme DSP Aneel nº 2.158/2025 a titularidade da autorização da Central Geradora Termelétrica - UTE Candiota
III foi transferida  para a empresa sucessora J&amp;F S.A.(CNPJ 00.350.763/0001-62).</t>
  </si>
  <si>
    <t xml:space="preserve">Reprocessamento da medição do carvão mineral informado pela empresa em 10/25, passando de  189.804,000  t para   203.280,000  t. </t>
  </si>
  <si>
    <t>Carvão Mineral¹</t>
  </si>
  <si>
    <t>¹ Os valores de carvão mineral, óleo combustível e óleo diesel referentes às competências fev/25, mar/25, abr/25 e mai/25 estavam suspensos para pagamento, aguardando orientações do ONS.</t>
  </si>
  <si>
    <t>Óleo Combustível¹</t>
  </si>
  <si>
    <t>Óleo Diesel¹</t>
  </si>
  <si>
    <t>Reprocessamento - Óleo Combustível¹</t>
  </si>
  <si>
    <t xml:space="preserve">Reprocessamento da medição do carvão mineral informado pela empresa em 04/25, passando de  232.495,000  t para   118.266,14 t. </t>
  </si>
  <si>
    <t>Reprocessamento da medição do óleo diesel passando de 27,16 t para 0,00 t, competência 05/25 - GEOP-4642 - (O valor de R$ 82.697,01 em dez/25 considerando atualização financeira)</t>
  </si>
  <si>
    <t>06/01/2026</t>
  </si>
  <si>
    <t>Reprocessamento da medição do carvão mineral passando de 327.822,00 para 203.164,00, competência 11/25 - CTS-10739</t>
  </si>
  <si>
    <t>Reprocessamento da medição do óleo diesel passando de 288,79 para zero, competência 11/25 - CTS-10739</t>
  </si>
  <si>
    <t>Reprocessamento da medição do óleo combustível passando de 1684,19400000029 para zero, competência 11/25 - CTS-10739</t>
  </si>
  <si>
    <t>Reprocessamento da medição do carvão mineral passando de 138.503,00 para 203.164,00, competência 12/25 - CTS-10741</t>
  </si>
  <si>
    <t>Reprocessamento da medição do óleo combustível passando de 621,6 para 244,46, competência 12/25 - CTS-10741</t>
  </si>
  <si>
    <t>Reprocessamento - Óleo Diesel</t>
  </si>
  <si>
    <t>Reprocessamento - Óleo Combustível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</si>
</sst>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0.000"/>
    <numFmt numFmtId="166" formatCode="#,##0.00_ ;[Red]\-#,##0.00\ "/>
    <numFmt numFmtId="167" formatCode="#,##0_ ;[Red]\-#,##0\ "/>
    <numFmt numFmtId="168" formatCode="#,##0.0_ ;[Red]\-#,##0.0\ "/>
    <numFmt numFmtId="169" formatCode="#,##0.000_ ;[Red]\-#,##0.000\ "/>
    <numFmt numFmtId="170" formatCode="_-* #,##0_-;\-* #,##0_-;_-* &quot;-&quot;??_-;_-@_-"/>
    <numFmt numFmtId="171" formatCode="&quot;R$&quot;\ #,##0.00"/>
    <numFmt numFmtId="172" formatCode="[$-416]mmm\-yy;@"/>
    <numFmt numFmtId="173" formatCode="_-* #,##0.000000000000_-;\-* #,##0.000000000000_-;_-* &quot;-&quot;??_-;_-@_-"/>
    <numFmt numFmtId="174" formatCode="0.0000000"/>
    <numFmt numFmtId="175" formatCode="#0.00000"/>
    <numFmt numFmtId="176" formatCode="0.0000"/>
    <numFmt numFmtId="177" formatCode="0.00000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8"/>
      <color rgb="FF0E2050"/>
      <name val="Calibri"/>
      <family val="2"/>
      <scheme val="minor"/>
    </font>
    <font>
      <b/>
      <sz val="11"/>
      <color rgb="FF0E2050"/>
      <name val="Calibri"/>
      <family val="2"/>
      <scheme val="minor"/>
    </font>
    <font>
      <sz val="11"/>
      <color rgb="FF0E2050"/>
      <name val="Calibri"/>
      <family val="2"/>
      <scheme val="minor"/>
    </font>
    <font>
      <b/>
      <sz val="14"/>
      <color rgb="FF0E205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8296C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08296C"/>
      <name val="Calibri"/>
      <family val="2"/>
      <scheme val="minor"/>
    </font>
    <font>
      <sz val="8"/>
      <name val="Courier New"/>
      <family val="3"/>
    </font>
    <font>
      <sz val="11"/>
      <color theme="2" tint="-0.249977111117893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1"/>
      <color rgb="FF000C4C"/>
      <name val="Calibri"/>
      <family val="2"/>
      <scheme val="minor"/>
    </font>
    <font>
      <sz val="11"/>
      <color rgb="FF000C4C"/>
      <name val="Calibri"/>
      <family val="2"/>
      <scheme val="minor"/>
    </font>
    <font>
      <b/>
      <sz val="18"/>
      <color rgb="FF06038D"/>
      <name val="Calibri"/>
      <family val="2"/>
      <scheme val="minor"/>
    </font>
    <font>
      <b/>
      <sz val="11"/>
      <color rgb="FF06038D"/>
      <name val="Calibri"/>
      <family val="2"/>
      <scheme val="minor"/>
    </font>
    <font>
      <sz val="11"/>
      <color rgb="FF06038D"/>
      <name val="Calibri"/>
      <family val="2"/>
      <scheme val="minor"/>
    </font>
    <font>
      <b/>
      <sz val="14"/>
      <color rgb="FF06038D"/>
      <name val="Calibri"/>
      <family val="2"/>
      <scheme val="minor"/>
    </font>
    <font>
      <b/>
      <sz val="16"/>
      <color rgb="FF06038D"/>
      <name val="Calibri"/>
      <family val="2"/>
      <scheme val="minor"/>
    </font>
    <font>
      <sz val="11"/>
      <color rgb="FF08296C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Roboto"/>
    </font>
    <font>
      <sz val="11"/>
      <color rgb="FFFF0000"/>
      <name val="Calibri"/>
      <family val="2"/>
      <scheme val="minor"/>
    </font>
    <font>
      <b/>
      <sz val="24"/>
      <color rgb="FF000C4C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rgb="FF08296C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28"/>
      <color theme="4" tint="-0.499984740745262"/>
      <name val="Calibri"/>
      <family val="2"/>
      <scheme val="minor"/>
    </font>
    <font>
      <b/>
      <sz val="28"/>
      <color rgb="FF06038D"/>
      <name val="Calibri"/>
      <family val="2"/>
      <scheme val="minor"/>
    </font>
    <font>
      <sz val="11"/>
      <name val="Aptos Narrow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BBB21"/>
        <bgColor indexed="64"/>
      </patternFill>
    </fill>
    <fill>
      <patternFill patternType="solid">
        <fgColor rgb="FF0E2050"/>
        <bgColor indexed="64"/>
      </patternFill>
    </fill>
    <fill>
      <patternFill patternType="solid">
        <fgColor rgb="FF08296C"/>
        <bgColor indexed="64"/>
      </patternFill>
    </fill>
    <fill>
      <patternFill patternType="solid">
        <fgColor rgb="FF0073AE"/>
        <bgColor indexed="64"/>
      </patternFill>
    </fill>
    <fill>
      <patternFill patternType="solid">
        <fgColor rgb="FF007B77"/>
        <bgColor indexed="64"/>
      </patternFill>
    </fill>
    <fill>
      <patternFill patternType="solid">
        <fgColor rgb="FF00909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1EB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B8DDE1"/>
        <bgColor indexed="64"/>
      </patternFill>
    </fill>
    <fill>
      <patternFill patternType="solid">
        <fgColor rgb="FF06038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BBB21"/>
      </left>
      <right style="thin">
        <color rgb="FFFBBB21"/>
      </right>
      <top style="thin">
        <color rgb="FFFBBB21"/>
      </top>
      <bottom style="thin">
        <color rgb="FFFBBB21"/>
      </bottom>
      <diagonal/>
    </border>
    <border>
      <left style="medium">
        <color rgb="FFFBBB21"/>
      </left>
      <right style="medium">
        <color rgb="FFFBBB21"/>
      </right>
      <top style="medium">
        <color rgb="FFFBBB21"/>
      </top>
      <bottom/>
      <diagonal/>
    </border>
    <border>
      <left style="thin">
        <color rgb="FFFBBB21"/>
      </left>
      <right/>
      <top style="thin">
        <color rgb="FFFBBB21"/>
      </top>
      <bottom style="thin">
        <color rgb="FFFBBB21"/>
      </bottom>
      <diagonal/>
    </border>
    <border>
      <left/>
      <right style="thin">
        <color rgb="FFFBBB21"/>
      </right>
      <top style="thin">
        <color rgb="FFFBBB21"/>
      </top>
      <bottom style="thin">
        <color rgb="FFFBBB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BBB21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/>
      <right/>
      <top style="thin">
        <color rgb="FFFFC000"/>
      </top>
      <bottom/>
      <diagonal/>
    </border>
    <border>
      <left/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B05"/>
      </right>
      <top/>
      <bottom style="thin">
        <color rgb="FFFFC000"/>
      </bottom>
      <diagonal/>
    </border>
    <border>
      <left style="thin">
        <color rgb="FFFFC000"/>
      </left>
      <right/>
      <top/>
      <bottom/>
      <diagonal/>
    </border>
    <border>
      <left style="thin">
        <color rgb="FF000C4C"/>
      </left>
      <right style="thin">
        <color rgb="FF000C4C"/>
      </right>
      <top style="thin">
        <color rgb="FF000C4C"/>
      </top>
      <bottom style="thin">
        <color rgb="FF000C4C"/>
      </bottom>
      <diagonal/>
    </border>
    <border>
      <left style="thin">
        <color rgb="FF000C4C"/>
      </left>
      <right style="thin">
        <color rgb="FF000C4C"/>
      </right>
      <top style="thin">
        <color rgb="FF000C4C"/>
      </top>
      <bottom style="thick">
        <color rgb="FF000C4C"/>
      </bottom>
      <diagonal/>
    </border>
    <border>
      <left style="thin">
        <color rgb="FF000C4C"/>
      </left>
      <right style="thin">
        <color rgb="FF000C4C"/>
      </right>
      <top/>
      <bottom style="thin">
        <color rgb="FF000C4C"/>
      </bottom>
      <diagonal/>
    </border>
    <border>
      <left style="thin">
        <color rgb="FF000C4C"/>
      </left>
      <right style="thin">
        <color rgb="FF000C4C"/>
      </right>
      <top style="thin">
        <color indexed="64"/>
      </top>
      <bottom style="thin">
        <color rgb="FF000C4C"/>
      </bottom>
      <diagonal/>
    </border>
    <border>
      <left style="thin">
        <color rgb="FF000C4C"/>
      </left>
      <right/>
      <top style="thin">
        <color rgb="FF000C4C"/>
      </top>
      <bottom/>
      <diagonal/>
    </border>
    <border>
      <left/>
      <right/>
      <top style="thin">
        <color rgb="FF000C4C"/>
      </top>
      <bottom/>
      <diagonal/>
    </border>
    <border>
      <left/>
      <right style="thin">
        <color rgb="FF000C4C"/>
      </right>
      <top style="thin">
        <color rgb="FF000C4C"/>
      </top>
      <bottom/>
      <diagonal/>
    </border>
    <border>
      <left style="medium">
        <color rgb="FF000C4C"/>
      </left>
      <right/>
      <top style="medium">
        <color rgb="FF000C4C"/>
      </top>
      <bottom style="medium">
        <color rgb="FF000C4C"/>
      </bottom>
      <diagonal/>
    </border>
    <border>
      <left/>
      <right/>
      <top style="medium">
        <color rgb="FF000C4C"/>
      </top>
      <bottom style="medium">
        <color rgb="FF000C4C"/>
      </bottom>
      <diagonal/>
    </border>
    <border>
      <left/>
      <right style="medium">
        <color rgb="FF000C4C"/>
      </right>
      <top style="medium">
        <color rgb="FF000C4C"/>
      </top>
      <bottom style="medium">
        <color rgb="FF000C4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E2050"/>
      </left>
      <right style="medium">
        <color rgb="FF0E2050"/>
      </right>
      <top style="medium">
        <color rgb="FF0E2050"/>
      </top>
      <bottom style="medium">
        <color rgb="FF0E2050"/>
      </bottom>
      <diagonal/>
    </border>
    <border>
      <left style="medium">
        <color rgb="FF0E2050"/>
      </left>
      <right style="medium">
        <color rgb="FF0E2050"/>
      </right>
      <top style="medium">
        <color rgb="FF0E2050"/>
      </top>
      <bottom style="thin">
        <color rgb="FF0E2050"/>
      </bottom>
      <diagonal/>
    </border>
    <border>
      <left style="medium">
        <color rgb="FF0E2050"/>
      </left>
      <right style="medium">
        <color rgb="FF0E2050"/>
      </right>
      <top style="thin">
        <color rgb="FF0E2050"/>
      </top>
      <bottom style="medium">
        <color rgb="FF0E2050"/>
      </bottom>
      <diagonal/>
    </border>
    <border>
      <left style="thin">
        <color rgb="FF0E2050"/>
      </left>
      <right style="thin">
        <color rgb="FF0E2050"/>
      </right>
      <top style="medium">
        <color rgb="FF0E2050"/>
      </top>
      <bottom style="medium">
        <color rgb="FF0E2050"/>
      </bottom>
      <diagonal/>
    </border>
    <border>
      <left style="medium">
        <color rgb="FF0E2050"/>
      </left>
      <right/>
      <top style="medium">
        <color rgb="FF0E2050"/>
      </top>
      <bottom style="medium">
        <color rgb="FF0E2050"/>
      </bottom>
      <diagonal/>
    </border>
    <border>
      <left style="medium">
        <color rgb="FF0E2050"/>
      </left>
      <right/>
      <top style="medium">
        <color rgb="FF0E2050"/>
      </top>
      <bottom style="thin">
        <color rgb="FF0E2050"/>
      </bottom>
      <diagonal/>
    </border>
    <border>
      <left style="medium">
        <color rgb="FF0E2050"/>
      </left>
      <right/>
      <top style="thin">
        <color rgb="FF0E2050"/>
      </top>
      <bottom style="medium">
        <color rgb="FF0E2050"/>
      </bottom>
      <diagonal/>
    </border>
    <border>
      <left style="thin">
        <color rgb="FF0E2050"/>
      </left>
      <right style="thin">
        <color rgb="FF0E2050"/>
      </right>
      <top style="medium">
        <color rgb="FF0E2050"/>
      </top>
      <bottom style="thin">
        <color rgb="FF0E2050"/>
      </bottom>
      <diagonal/>
    </border>
    <border>
      <left style="thin">
        <color rgb="FF0E2050"/>
      </left>
      <right style="thin">
        <color rgb="FF0E2050"/>
      </right>
      <top style="thin">
        <color rgb="FF0E2050"/>
      </top>
      <bottom style="medium">
        <color rgb="FF0E2050"/>
      </bottom>
      <diagonal/>
    </border>
    <border>
      <left style="thin">
        <color rgb="FF0E2050"/>
      </left>
      <right/>
      <top style="medium">
        <color rgb="FF0E2050"/>
      </top>
      <bottom style="medium">
        <color rgb="FF0E2050"/>
      </bottom>
      <diagonal/>
    </border>
    <border>
      <left style="thin">
        <color rgb="FF0E2050"/>
      </left>
      <right/>
      <top style="medium">
        <color rgb="FF0E2050"/>
      </top>
      <bottom style="thin">
        <color rgb="FF0E2050"/>
      </bottom>
      <diagonal/>
    </border>
    <border>
      <left style="thin">
        <color rgb="FF0E2050"/>
      </left>
      <right/>
      <top style="thin">
        <color rgb="FF0E2050"/>
      </top>
      <bottom style="medium">
        <color rgb="FF0E2050"/>
      </bottom>
      <diagonal/>
    </border>
    <border>
      <left style="thin">
        <color rgb="FF000C4C"/>
      </left>
      <right/>
      <top/>
      <bottom style="thin">
        <color rgb="FF000C4C"/>
      </bottom>
      <diagonal/>
    </border>
    <border>
      <left/>
      <right/>
      <top/>
      <bottom style="thin">
        <color rgb="FF000C4C"/>
      </bottom>
      <diagonal/>
    </border>
    <border>
      <left style="thin">
        <color rgb="FF000C4C"/>
      </left>
      <right/>
      <top style="thin">
        <color rgb="FF000C4C"/>
      </top>
      <bottom style="thin">
        <color rgb="FF000C4C"/>
      </bottom>
      <diagonal/>
    </border>
    <border>
      <left/>
      <right/>
      <top style="thin">
        <color rgb="FF000C4C"/>
      </top>
      <bottom style="thin">
        <color rgb="FF000C4C"/>
      </bottom>
      <diagonal/>
    </border>
    <border>
      <left/>
      <right style="thin">
        <color rgb="FF000C4C"/>
      </right>
      <top style="thin">
        <color rgb="FF000C4C"/>
      </top>
      <bottom style="thin">
        <color rgb="FF000C4C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rgb="FF4C4C4C"/>
      </left>
      <right/>
      <top style="thin">
        <color rgb="FF4C4C4C"/>
      </top>
      <bottom style="thin">
        <color rgb="FF4C4C4C"/>
      </bottom>
      <diagonal/>
    </border>
    <border>
      <left/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000C4C"/>
      </left>
      <right style="thin">
        <color rgb="FF000C4C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2060"/>
      </bottom>
      <diagonal/>
    </border>
    <border>
      <left style="thin">
        <color rgb="FF000C4C"/>
      </left>
      <right style="thin">
        <color rgb="FF000C4C"/>
      </right>
      <top/>
      <bottom/>
      <diagonal/>
    </border>
    <border>
      <left style="thin">
        <color rgb="FF000C4C"/>
      </left>
      <right style="thin">
        <color rgb="FF000C4C"/>
      </right>
      <top style="thin">
        <color rgb="FF000C4C"/>
      </top>
      <bottom/>
      <diagonal/>
    </border>
  </borders>
  <cellStyleXfs count="9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39" fillId="0" borderId="0"/>
    <xf numFmtId="0" fontId="42" fillId="0" borderId="0"/>
    <xf numFmtId="43" fontId="5" fillId="0" borderId="0" applyFont="0" applyFill="0" applyBorder="0" applyAlignment="0" applyProtection="0"/>
  </cellStyleXfs>
  <cellXfs count="42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17" fontId="0" fillId="0" borderId="0" xfId="0" applyNumberFormat="1"/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9" fontId="0" fillId="0" borderId="0" xfId="1" applyFont="1"/>
    <xf numFmtId="44" fontId="0" fillId="0" borderId="0" xfId="2" applyFont="1"/>
    <xf numFmtId="0" fontId="10" fillId="0" borderId="0" xfId="0" applyFont="1"/>
    <xf numFmtId="0" fontId="10" fillId="5" borderId="3" xfId="0" applyFont="1" applyFill="1" applyBorder="1" applyAlignment="1">
      <alignment horizontal="center" vertical="center" wrapText="1"/>
    </xf>
    <xf numFmtId="0" fontId="11" fillId="0" borderId="2" xfId="0" applyFont="1" applyBorder="1"/>
    <xf numFmtId="44" fontId="11" fillId="0" borderId="2" xfId="2" applyFont="1" applyBorder="1"/>
    <xf numFmtId="17" fontId="11" fillId="0" borderId="2" xfId="0" applyNumberFormat="1" applyFont="1" applyBorder="1"/>
    <xf numFmtId="14" fontId="11" fillId="3" borderId="2" xfId="0" applyNumberFormat="1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 wrapText="1"/>
    </xf>
    <xf numFmtId="10" fontId="11" fillId="0" borderId="2" xfId="0" applyNumberFormat="1" applyFont="1" applyBorder="1"/>
    <xf numFmtId="0" fontId="7" fillId="6" borderId="4" xfId="0" applyFont="1" applyFill="1" applyBorder="1" applyAlignment="1">
      <alignment horizontal="center" wrapText="1"/>
    </xf>
    <xf numFmtId="164" fontId="11" fillId="0" borderId="2" xfId="0" applyNumberFormat="1" applyFont="1" applyBorder="1" applyAlignment="1">
      <alignment horizontal="left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2" xfId="0" applyNumberFormat="1" applyBorder="1"/>
    <xf numFmtId="166" fontId="0" fillId="4" borderId="2" xfId="0" applyNumberFormat="1" applyFill="1" applyBorder="1"/>
    <xf numFmtId="166" fontId="0" fillId="0" borderId="0" xfId="0" applyNumberFormat="1"/>
    <xf numFmtId="167" fontId="11" fillId="0" borderId="2" xfId="0" applyNumberFormat="1" applyFont="1" applyBorder="1" applyAlignment="1">
      <alignment horizontal="center"/>
    </xf>
    <xf numFmtId="167" fontId="0" fillId="0" borderId="0" xfId="0" applyNumberFormat="1"/>
    <xf numFmtId="168" fontId="0" fillId="0" borderId="0" xfId="0" applyNumberFormat="1"/>
    <xf numFmtId="167" fontId="11" fillId="0" borderId="2" xfId="0" applyNumberFormat="1" applyFont="1" applyBorder="1"/>
    <xf numFmtId="167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/>
    <xf numFmtId="9" fontId="11" fillId="0" borderId="0" xfId="1" applyFont="1" applyBorder="1"/>
    <xf numFmtId="169" fontId="0" fillId="0" borderId="0" xfId="0" applyNumberFormat="1"/>
    <xf numFmtId="169" fontId="0" fillId="0" borderId="0" xfId="0" applyNumberFormat="1" applyAlignment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 wrapText="1"/>
    </xf>
    <xf numFmtId="165" fontId="10" fillId="3" borderId="2" xfId="0" applyNumberFormat="1" applyFont="1" applyFill="1" applyBorder="1"/>
    <xf numFmtId="165" fontId="10" fillId="3" borderId="0" xfId="0" applyNumberFormat="1" applyFont="1" applyFill="1"/>
    <xf numFmtId="166" fontId="10" fillId="0" borderId="0" xfId="0" applyNumberFormat="1" applyFont="1" applyAlignment="1">
      <alignment horizontal="center"/>
    </xf>
    <xf numFmtId="0" fontId="2" fillId="0" borderId="6" xfId="0" applyFont="1" applyBorder="1"/>
    <xf numFmtId="0" fontId="7" fillId="9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7" fontId="8" fillId="0" borderId="2" xfId="0" applyNumberFormat="1" applyFont="1" applyBorder="1"/>
    <xf numFmtId="166" fontId="8" fillId="0" borderId="2" xfId="0" applyNumberFormat="1" applyFont="1" applyBorder="1"/>
    <xf numFmtId="0" fontId="7" fillId="8" borderId="11" xfId="0" applyFont="1" applyFill="1" applyBorder="1" applyAlignment="1">
      <alignment horizontal="center" vertical="center" wrapText="1"/>
    </xf>
    <xf numFmtId="164" fontId="8" fillId="0" borderId="2" xfId="0" applyNumberFormat="1" applyFont="1" applyBorder="1"/>
    <xf numFmtId="168" fontId="8" fillId="0" borderId="2" xfId="0" applyNumberFormat="1" applyFont="1" applyBorder="1"/>
    <xf numFmtId="166" fontId="8" fillId="4" borderId="2" xfId="0" applyNumberFormat="1" applyFont="1" applyFill="1" applyBorder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8" fontId="11" fillId="0" borderId="2" xfId="0" applyNumberFormat="1" applyFont="1" applyBorder="1" applyAlignment="1">
      <alignment horizontal="center"/>
    </xf>
    <xf numFmtId="0" fontId="12" fillId="0" borderId="0" xfId="0" applyFont="1" applyAlignment="1">
      <alignment vertical="center"/>
    </xf>
    <xf numFmtId="164" fontId="0" fillId="0" borderId="0" xfId="0" applyNumberFormat="1" applyAlignment="1">
      <alignment horizontal="center" wrapText="1"/>
    </xf>
    <xf numFmtId="167" fontId="1" fillId="0" borderId="0" xfId="0" applyNumberFormat="1" applyFont="1" applyAlignment="1">
      <alignment horizontal="center" wrapText="1"/>
    </xf>
    <xf numFmtId="168" fontId="1" fillId="0" borderId="0" xfId="0" applyNumberFormat="1" applyFont="1" applyAlignment="1">
      <alignment horizontal="center" wrapText="1"/>
    </xf>
    <xf numFmtId="166" fontId="0" fillId="0" borderId="0" xfId="0" applyNumberFormat="1" applyAlignment="1">
      <alignment horizontal="center" wrapText="1"/>
    </xf>
    <xf numFmtId="0" fontId="12" fillId="0" borderId="0" xfId="0" applyFont="1" applyAlignment="1">
      <alignment horizontal="center" vertical="center"/>
    </xf>
    <xf numFmtId="44" fontId="10" fillId="0" borderId="0" xfId="2" applyFont="1" applyBorder="1"/>
    <xf numFmtId="43" fontId="0" fillId="0" borderId="0" xfId="0" applyNumberFormat="1"/>
    <xf numFmtId="0" fontId="0" fillId="0" borderId="0" xfId="0" applyAlignment="1">
      <alignment vertical="top"/>
    </xf>
    <xf numFmtId="44" fontId="0" fillId="0" borderId="0" xfId="0" applyNumberFormat="1"/>
    <xf numFmtId="2" fontId="0" fillId="0" borderId="0" xfId="2" applyNumberFormat="1" applyFont="1" applyAlignment="1">
      <alignment horizontal="center"/>
    </xf>
    <xf numFmtId="2" fontId="0" fillId="0" borderId="0" xfId="0" applyNumberFormat="1"/>
    <xf numFmtId="4" fontId="0" fillId="0" borderId="0" xfId="0" applyNumberFormat="1"/>
    <xf numFmtId="171" fontId="0" fillId="0" borderId="0" xfId="0" applyNumberFormat="1"/>
    <xf numFmtId="0" fontId="0" fillId="0" borderId="0" xfId="0" quotePrefix="1"/>
    <xf numFmtId="0" fontId="7" fillId="7" borderId="13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14" fillId="13" borderId="13" xfId="0" applyFont="1" applyFill="1" applyBorder="1" applyAlignment="1">
      <alignment horizontal="center" vertical="center" wrapText="1"/>
    </xf>
    <xf numFmtId="17" fontId="11" fillId="0" borderId="13" xfId="0" applyNumberFormat="1" applyFont="1" applyBorder="1"/>
    <xf numFmtId="0" fontId="11" fillId="0" borderId="13" xfId="0" applyFont="1" applyBorder="1"/>
    <xf numFmtId="14" fontId="11" fillId="0" borderId="13" xfId="0" applyNumberFormat="1" applyFont="1" applyBorder="1"/>
    <xf numFmtId="8" fontId="11" fillId="0" borderId="13" xfId="0" applyNumberFormat="1" applyFont="1" applyBorder="1"/>
    <xf numFmtId="8" fontId="11" fillId="0" borderId="13" xfId="2" applyNumberFormat="1" applyFont="1" applyFill="1" applyBorder="1"/>
    <xf numFmtId="8" fontId="11" fillId="0" borderId="13" xfId="2" applyNumberFormat="1" applyFont="1" applyBorder="1"/>
    <xf numFmtId="172" fontId="8" fillId="0" borderId="13" xfId="3" quotePrefix="1" applyNumberFormat="1" applyFont="1" applyBorder="1" applyAlignment="1">
      <alignment horizontal="right" vertical="center"/>
    </xf>
    <xf numFmtId="44" fontId="11" fillId="0" borderId="13" xfId="2" applyFont="1" applyBorder="1"/>
    <xf numFmtId="0" fontId="15" fillId="0" borderId="14" xfId="0" applyFont="1" applyBorder="1"/>
    <xf numFmtId="44" fontId="8" fillId="0" borderId="14" xfId="0" applyNumberFormat="1" applyFont="1" applyBorder="1"/>
    <xf numFmtId="44" fontId="15" fillId="0" borderId="14" xfId="0" applyNumberFormat="1" applyFont="1" applyBorder="1"/>
    <xf numFmtId="0" fontId="10" fillId="13" borderId="13" xfId="0" applyFont="1" applyFill="1" applyBorder="1" applyAlignment="1">
      <alignment horizontal="center" vertical="center" wrapText="1"/>
    </xf>
    <xf numFmtId="4" fontId="11" fillId="0" borderId="13" xfId="0" applyNumberFormat="1" applyFont="1" applyBorder="1"/>
    <xf numFmtId="17" fontId="11" fillId="0" borderId="16" xfId="0" applyNumberFormat="1" applyFont="1" applyBorder="1"/>
    <xf numFmtId="4" fontId="11" fillId="0" borderId="16" xfId="0" applyNumberFormat="1" applyFont="1" applyBorder="1"/>
    <xf numFmtId="0" fontId="11" fillId="0" borderId="16" xfId="0" applyFont="1" applyBorder="1"/>
    <xf numFmtId="17" fontId="10" fillId="0" borderId="14" xfId="0" applyNumberFormat="1" applyFont="1" applyBorder="1"/>
    <xf numFmtId="0" fontId="11" fillId="0" borderId="14" xfId="0" applyFont="1" applyBorder="1"/>
    <xf numFmtId="0" fontId="7" fillId="8" borderId="13" xfId="0" applyFont="1" applyFill="1" applyBorder="1" applyAlignment="1">
      <alignment horizontal="center" vertical="center" wrapText="1"/>
    </xf>
    <xf numFmtId="164" fontId="0" fillId="0" borderId="13" xfId="0" applyNumberFormat="1" applyBorder="1"/>
    <xf numFmtId="167" fontId="0" fillId="0" borderId="13" xfId="0" applyNumberFormat="1" applyBorder="1"/>
    <xf numFmtId="168" fontId="0" fillId="0" borderId="13" xfId="0" applyNumberFormat="1" applyBorder="1"/>
    <xf numFmtId="166" fontId="0" fillId="0" borderId="13" xfId="0" applyNumberFormat="1" applyBorder="1"/>
    <xf numFmtId="166" fontId="10" fillId="3" borderId="13" xfId="0" applyNumberFormat="1" applyFont="1" applyFill="1" applyBorder="1" applyAlignment="1">
      <alignment horizontal="right"/>
    </xf>
    <xf numFmtId="17" fontId="11" fillId="0" borderId="13" xfId="0" applyNumberFormat="1" applyFont="1" applyBorder="1" applyAlignment="1">
      <alignment horizontal="right"/>
    </xf>
    <xf numFmtId="0" fontId="11" fillId="0" borderId="13" xfId="0" applyFont="1" applyBorder="1" applyAlignment="1">
      <alignment horizontal="center" wrapText="1"/>
    </xf>
    <xf numFmtId="4" fontId="11" fillId="0" borderId="13" xfId="1" applyNumberFormat="1" applyFont="1" applyBorder="1"/>
    <xf numFmtId="0" fontId="0" fillId="2" borderId="13" xfId="0" applyFill="1" applyBorder="1" applyAlignment="1">
      <alignment wrapText="1"/>
    </xf>
    <xf numFmtId="17" fontId="11" fillId="0" borderId="13" xfId="0" applyNumberFormat="1" applyFont="1" applyBorder="1" applyAlignment="1">
      <alignment horizontal="center" wrapText="1"/>
    </xf>
    <xf numFmtId="44" fontId="8" fillId="0" borderId="13" xfId="2" applyFont="1" applyFill="1" applyBorder="1"/>
    <xf numFmtId="44" fontId="11" fillId="0" borderId="13" xfId="2" applyFont="1" applyFill="1" applyBorder="1"/>
    <xf numFmtId="17" fontId="0" fillId="0" borderId="13" xfId="0" applyNumberFormat="1" applyBorder="1"/>
    <xf numFmtId="0" fontId="0" fillId="0" borderId="13" xfId="0" applyBorder="1"/>
    <xf numFmtId="17" fontId="0" fillId="0" borderId="13" xfId="0" applyNumberFormat="1" applyBorder="1" applyAlignment="1">
      <alignment horizontal="right"/>
    </xf>
    <xf numFmtId="17" fontId="8" fillId="0" borderId="13" xfId="0" applyNumberFormat="1" applyFont="1" applyBorder="1"/>
    <xf numFmtId="0" fontId="7" fillId="8" borderId="15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/>
    </xf>
    <xf numFmtId="43" fontId="8" fillId="0" borderId="13" xfId="3" applyFont="1" applyBorder="1" applyAlignment="1">
      <alignment vertical="center"/>
    </xf>
    <xf numFmtId="10" fontId="8" fillId="0" borderId="13" xfId="3" applyNumberFormat="1" applyFont="1" applyBorder="1" applyAlignment="1">
      <alignment vertical="center"/>
    </xf>
    <xf numFmtId="44" fontId="8" fillId="0" borderId="13" xfId="2" applyFont="1" applyBorder="1" applyAlignment="1">
      <alignment vertical="center"/>
    </xf>
    <xf numFmtId="0" fontId="8" fillId="0" borderId="13" xfId="3" applyNumberFormat="1" applyFont="1" applyBorder="1" applyAlignment="1">
      <alignment vertical="center"/>
    </xf>
    <xf numFmtId="0" fontId="14" fillId="12" borderId="13" xfId="0" applyFont="1" applyFill="1" applyBorder="1" applyAlignment="1">
      <alignment horizontal="center" vertical="center" wrapText="1"/>
    </xf>
    <xf numFmtId="44" fontId="8" fillId="0" borderId="13" xfId="2" applyFont="1" applyFill="1" applyBorder="1" applyAlignment="1">
      <alignment vertical="center"/>
    </xf>
    <xf numFmtId="0" fontId="11" fillId="0" borderId="13" xfId="3" applyNumberFormat="1" applyFont="1" applyBorder="1" applyAlignment="1">
      <alignment vertical="center"/>
    </xf>
    <xf numFmtId="14" fontId="11" fillId="0" borderId="13" xfId="3" applyNumberFormat="1" applyFont="1" applyBorder="1" applyAlignment="1">
      <alignment vertical="center"/>
    </xf>
    <xf numFmtId="171" fontId="11" fillId="0" borderId="13" xfId="0" applyNumberFormat="1" applyFont="1" applyBorder="1"/>
    <xf numFmtId="1" fontId="11" fillId="0" borderId="13" xfId="3" applyNumberFormat="1" applyFont="1" applyBorder="1" applyAlignment="1">
      <alignment vertical="center"/>
    </xf>
    <xf numFmtId="0" fontId="10" fillId="0" borderId="13" xfId="0" applyFont="1" applyBorder="1" applyAlignment="1">
      <alignment horizontal="center"/>
    </xf>
    <xf numFmtId="43" fontId="11" fillId="3" borderId="13" xfId="3" applyFont="1" applyFill="1" applyBorder="1" applyAlignment="1">
      <alignment horizontal="center"/>
    </xf>
    <xf numFmtId="171" fontId="11" fillId="3" borderId="13" xfId="0" applyNumberFormat="1" applyFont="1" applyFill="1" applyBorder="1" applyAlignment="1">
      <alignment horizontal="center"/>
    </xf>
    <xf numFmtId="44" fontId="11" fillId="3" borderId="13" xfId="2" applyFont="1" applyFill="1" applyBorder="1" applyAlignment="1">
      <alignment horizontal="center"/>
    </xf>
    <xf numFmtId="43" fontId="11" fillId="0" borderId="13" xfId="3" applyFont="1" applyBorder="1" applyAlignment="1">
      <alignment vertical="center"/>
    </xf>
    <xf numFmtId="170" fontId="11" fillId="11" borderId="13" xfId="3" applyNumberFormat="1" applyFont="1" applyFill="1" applyBorder="1" applyAlignment="1">
      <alignment vertical="center"/>
    </xf>
    <xf numFmtId="0" fontId="19" fillId="0" borderId="13" xfId="3" applyNumberFormat="1" applyFont="1" applyBorder="1" applyAlignment="1">
      <alignment vertical="center"/>
    </xf>
    <xf numFmtId="43" fontId="19" fillId="0" borderId="13" xfId="3" applyFont="1" applyBorder="1" applyAlignment="1">
      <alignment vertical="center"/>
    </xf>
    <xf numFmtId="170" fontId="19" fillId="0" borderId="13" xfId="3" applyNumberFormat="1" applyFont="1" applyBorder="1" applyAlignment="1">
      <alignment vertical="center"/>
    </xf>
    <xf numFmtId="0" fontId="10" fillId="0" borderId="13" xfId="0" applyFont="1" applyBorder="1"/>
    <xf numFmtId="44" fontId="10" fillId="0" borderId="13" xfId="2" applyFont="1" applyBorder="1"/>
    <xf numFmtId="167" fontId="11" fillId="0" borderId="13" xfId="0" applyNumberFormat="1" applyFont="1" applyBorder="1"/>
    <xf numFmtId="166" fontId="11" fillId="0" borderId="13" xfId="0" applyNumberFormat="1" applyFont="1" applyBorder="1"/>
    <xf numFmtId="167" fontId="10" fillId="3" borderId="13" xfId="0" applyNumberFormat="1" applyFont="1" applyFill="1" applyBorder="1" applyAlignment="1">
      <alignment horizontal="center"/>
    </xf>
    <xf numFmtId="166" fontId="10" fillId="0" borderId="13" xfId="0" applyNumberFormat="1" applyFont="1" applyBorder="1"/>
    <xf numFmtId="166" fontId="10" fillId="3" borderId="13" xfId="0" applyNumberFormat="1" applyFont="1" applyFill="1" applyBorder="1" applyAlignment="1">
      <alignment horizontal="center"/>
    </xf>
    <xf numFmtId="17" fontId="7" fillId="7" borderId="13" xfId="0" applyNumberFormat="1" applyFont="1" applyFill="1" applyBorder="1"/>
    <xf numFmtId="0" fontId="7" fillId="7" borderId="13" xfId="0" applyFont="1" applyFill="1" applyBorder="1" applyAlignment="1">
      <alignment horizontal="left" vertical="center"/>
    </xf>
    <xf numFmtId="166" fontId="10" fillId="3" borderId="13" xfId="0" applyNumberFormat="1" applyFont="1" applyFill="1" applyBorder="1"/>
    <xf numFmtId="0" fontId="14" fillId="13" borderId="23" xfId="0" applyFont="1" applyFill="1" applyBorder="1" applyAlignment="1">
      <alignment horizontal="center" vertical="center" wrapText="1"/>
    </xf>
    <xf numFmtId="17" fontId="11" fillId="0" borderId="23" xfId="0" applyNumberFormat="1" applyFont="1" applyBorder="1"/>
    <xf numFmtId="165" fontId="11" fillId="0" borderId="23" xfId="0" applyNumberFormat="1" applyFont="1" applyBorder="1"/>
    <xf numFmtId="14" fontId="11" fillId="0" borderId="23" xfId="0" applyNumberFormat="1" applyFont="1" applyBorder="1"/>
    <xf numFmtId="172" fontId="8" fillId="0" borderId="23" xfId="3" quotePrefix="1" applyNumberFormat="1" applyFont="1" applyBorder="1" applyAlignment="1">
      <alignment horizontal="right" vertical="center"/>
    </xf>
    <xf numFmtId="10" fontId="11" fillId="0" borderId="13" xfId="1" applyNumberFormat="1" applyFont="1" applyBorder="1"/>
    <xf numFmtId="0" fontId="22" fillId="14" borderId="24" xfId="0" applyFont="1" applyFill="1" applyBorder="1" applyAlignment="1">
      <alignment horizontal="center" wrapText="1"/>
    </xf>
    <xf numFmtId="0" fontId="7" fillId="8" borderId="24" xfId="0" applyFont="1" applyFill="1" applyBorder="1" applyAlignment="1">
      <alignment horizontal="center" vertical="center" wrapText="1"/>
    </xf>
    <xf numFmtId="0" fontId="14" fillId="13" borderId="24" xfId="0" applyFont="1" applyFill="1" applyBorder="1" applyAlignment="1">
      <alignment horizontal="center" vertical="center" wrapText="1"/>
    </xf>
    <xf numFmtId="17" fontId="0" fillId="0" borderId="29" xfId="0" applyNumberFormat="1" applyBorder="1"/>
    <xf numFmtId="0" fontId="1" fillId="0" borderId="30" xfId="0" applyFont="1" applyBorder="1"/>
    <xf numFmtId="0" fontId="22" fillId="14" borderId="27" xfId="0" applyFont="1" applyFill="1" applyBorder="1" applyAlignment="1">
      <alignment horizontal="center" wrapText="1"/>
    </xf>
    <xf numFmtId="0" fontId="6" fillId="0" borderId="31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22" fillId="14" borderId="33" xfId="0" applyFont="1" applyFill="1" applyBorder="1" applyAlignment="1">
      <alignment horizontal="center" wrapText="1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6" borderId="5" xfId="0" applyFont="1" applyFill="1" applyBorder="1" applyAlignment="1">
      <alignment horizontal="center" wrapText="1"/>
    </xf>
    <xf numFmtId="14" fontId="11" fillId="3" borderId="5" xfId="0" applyNumberFormat="1" applyFont="1" applyFill="1" applyBorder="1" applyAlignment="1">
      <alignment horizontal="center"/>
    </xf>
    <xf numFmtId="0" fontId="8" fillId="0" borderId="13" xfId="0" applyFont="1" applyBorder="1"/>
    <xf numFmtId="167" fontId="8" fillId="0" borderId="13" xfId="0" applyNumberFormat="1" applyFont="1" applyBorder="1"/>
    <xf numFmtId="166" fontId="8" fillId="0" borderId="13" xfId="0" applyNumberFormat="1" applyFont="1" applyBorder="1"/>
    <xf numFmtId="9" fontId="7" fillId="8" borderId="13" xfId="1" applyFont="1" applyFill="1" applyBorder="1" applyAlignment="1">
      <alignment horizontal="center" vertical="center" wrapText="1"/>
    </xf>
    <xf numFmtId="0" fontId="21" fillId="14" borderId="13" xfId="0" applyFont="1" applyFill="1" applyBorder="1" applyAlignment="1">
      <alignment horizontal="center" wrapText="1"/>
    </xf>
    <xf numFmtId="0" fontId="21" fillId="14" borderId="13" xfId="0" applyFont="1" applyFill="1" applyBorder="1" applyAlignment="1">
      <alignment horizontal="center" vertical="center" wrapText="1"/>
    </xf>
    <xf numFmtId="0" fontId="21" fillId="14" borderId="15" xfId="0" applyFont="1" applyFill="1" applyBorder="1" applyAlignment="1">
      <alignment horizontal="center" vertical="center" wrapText="1"/>
    </xf>
    <xf numFmtId="0" fontId="7" fillId="15" borderId="13" xfId="0" applyFont="1" applyFill="1" applyBorder="1" applyAlignment="1">
      <alignment horizontal="center" vertical="center"/>
    </xf>
    <xf numFmtId="0" fontId="7" fillId="15" borderId="13" xfId="0" applyFont="1" applyFill="1" applyBorder="1" applyAlignment="1">
      <alignment horizontal="center" vertical="center" wrapText="1"/>
    </xf>
    <xf numFmtId="17" fontId="7" fillId="15" borderId="13" xfId="0" applyNumberFormat="1" applyFont="1" applyFill="1" applyBorder="1"/>
    <xf numFmtId="0" fontId="7" fillId="15" borderId="13" xfId="0" applyFont="1" applyFill="1" applyBorder="1" applyAlignment="1">
      <alignment horizontal="left" vertical="center"/>
    </xf>
    <xf numFmtId="0" fontId="7" fillId="15" borderId="23" xfId="0" applyFont="1" applyFill="1" applyBorder="1" applyAlignment="1">
      <alignment horizontal="center" vertical="center" wrapText="1"/>
    </xf>
    <xf numFmtId="0" fontId="7" fillId="15" borderId="28" xfId="0" applyFont="1" applyFill="1" applyBorder="1" applyAlignment="1">
      <alignment horizontal="center" vertical="center" wrapText="1"/>
    </xf>
    <xf numFmtId="17" fontId="13" fillId="15" borderId="13" xfId="0" applyNumberFormat="1" applyFont="1" applyFill="1" applyBorder="1" applyAlignment="1">
      <alignment horizontal="right"/>
    </xf>
    <xf numFmtId="165" fontId="11" fillId="0" borderId="13" xfId="0" applyNumberFormat="1" applyFont="1" applyBorder="1"/>
    <xf numFmtId="17" fontId="10" fillId="0" borderId="13" xfId="0" applyNumberFormat="1" applyFont="1" applyBorder="1"/>
    <xf numFmtId="0" fontId="25" fillId="0" borderId="0" xfId="0" applyFont="1"/>
    <xf numFmtId="0" fontId="7" fillId="15" borderId="13" xfId="0" applyFont="1" applyFill="1" applyBorder="1" applyAlignment="1">
      <alignment horizontal="center" wrapText="1"/>
    </xf>
    <xf numFmtId="0" fontId="28" fillId="0" borderId="0" xfId="0" applyFont="1"/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13" fillId="0" borderId="0" xfId="0" applyFont="1"/>
    <xf numFmtId="0" fontId="7" fillId="0" borderId="17" xfId="0" applyFont="1" applyBorder="1"/>
    <xf numFmtId="0" fontId="13" fillId="0" borderId="18" xfId="0" applyFont="1" applyBorder="1"/>
    <xf numFmtId="9" fontId="13" fillId="0" borderId="19" xfId="1" applyFont="1" applyBorder="1" applyAlignment="1">
      <alignment horizontal="left"/>
    </xf>
    <xf numFmtId="0" fontId="31" fillId="0" borderId="0" xfId="0" applyFont="1"/>
    <xf numFmtId="17" fontId="11" fillId="0" borderId="13" xfId="0" quotePrefix="1" applyNumberFormat="1" applyFont="1" applyBorder="1"/>
    <xf numFmtId="17" fontId="11" fillId="0" borderId="15" xfId="0" applyNumberFormat="1" applyFont="1" applyBorder="1"/>
    <xf numFmtId="165" fontId="11" fillId="0" borderId="40" xfId="0" applyNumberFormat="1" applyFont="1" applyBorder="1"/>
    <xf numFmtId="43" fontId="0" fillId="0" borderId="0" xfId="3" applyFont="1"/>
    <xf numFmtId="174" fontId="0" fillId="0" borderId="0" xfId="0" applyNumberFormat="1"/>
    <xf numFmtId="0" fontId="22" fillId="0" borderId="42" xfId="0" applyFont="1" applyBorder="1"/>
    <xf numFmtId="49" fontId="34" fillId="15" borderId="47" xfId="5" applyNumberFormat="1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 wrapText="1"/>
    </xf>
    <xf numFmtId="17" fontId="22" fillId="0" borderId="42" xfId="0" applyNumberFormat="1" applyFont="1" applyBorder="1"/>
    <xf numFmtId="17" fontId="22" fillId="16" borderId="48" xfId="0" quotePrefix="1" applyNumberFormat="1" applyFont="1" applyFill="1" applyBorder="1" applyAlignment="1">
      <alignment horizontal="center" vertical="center"/>
    </xf>
    <xf numFmtId="44" fontId="22" fillId="16" borderId="49" xfId="0" applyNumberFormat="1" applyFont="1" applyFill="1" applyBorder="1"/>
    <xf numFmtId="44" fontId="22" fillId="16" borderId="50" xfId="0" applyNumberFormat="1" applyFont="1" applyFill="1" applyBorder="1"/>
    <xf numFmtId="44" fontId="22" fillId="16" borderId="50" xfId="2" quotePrefix="1" applyFont="1" applyFill="1" applyBorder="1"/>
    <xf numFmtId="44" fontId="22" fillId="16" borderId="51" xfId="2" applyFont="1" applyFill="1" applyBorder="1"/>
    <xf numFmtId="44" fontId="22" fillId="16" borderId="51" xfId="0" applyNumberFormat="1" applyFont="1" applyFill="1" applyBorder="1"/>
    <xf numFmtId="17" fontId="19" fillId="0" borderId="52" xfId="0" applyNumberFormat="1" applyFont="1" applyBorder="1" applyAlignment="1">
      <alignment horizontal="center" vertical="center"/>
    </xf>
    <xf numFmtId="44" fontId="22" fillId="0" borderId="53" xfId="0" applyNumberFormat="1" applyFont="1" applyBorder="1"/>
    <xf numFmtId="8" fontId="22" fillId="0" borderId="53" xfId="0" applyNumberFormat="1" applyFont="1" applyBorder="1"/>
    <xf numFmtId="0" fontId="32" fillId="0" borderId="0" xfId="0" applyFont="1" applyAlignment="1">
      <alignment horizontal="right"/>
    </xf>
    <xf numFmtId="44" fontId="19" fillId="0" borderId="41" xfId="0" applyNumberFormat="1" applyFont="1" applyBorder="1"/>
    <xf numFmtId="44" fontId="19" fillId="0" borderId="0" xfId="0" applyNumberFormat="1" applyFont="1"/>
    <xf numFmtId="44" fontId="19" fillId="0" borderId="0" xfId="2" quotePrefix="1" applyFont="1" applyBorder="1"/>
    <xf numFmtId="44" fontId="19" fillId="0" borderId="53" xfId="0" applyNumberFormat="1" applyFont="1" applyBorder="1"/>
    <xf numFmtId="0" fontId="32" fillId="0" borderId="0" xfId="0" applyFont="1"/>
    <xf numFmtId="44" fontId="32" fillId="0" borderId="0" xfId="0" applyNumberFormat="1" applyFont="1"/>
    <xf numFmtId="2" fontId="19" fillId="11" borderId="42" xfId="0" applyNumberFormat="1" applyFont="1" applyFill="1" applyBorder="1"/>
    <xf numFmtId="0" fontId="19" fillId="11" borderId="42" xfId="0" applyFont="1" applyFill="1" applyBorder="1"/>
    <xf numFmtId="0" fontId="22" fillId="0" borderId="0" xfId="0" applyFont="1"/>
    <xf numFmtId="8" fontId="13" fillId="0" borderId="53" xfId="0" applyNumberFormat="1" applyFont="1" applyBorder="1"/>
    <xf numFmtId="0" fontId="35" fillId="0" borderId="0" xfId="0" applyFont="1"/>
    <xf numFmtId="17" fontId="19" fillId="0" borderId="56" xfId="0" applyNumberFormat="1" applyFont="1" applyBorder="1" applyAlignment="1">
      <alignment horizontal="center" vertical="center"/>
    </xf>
    <xf numFmtId="44" fontId="19" fillId="0" borderId="43" xfId="0" applyNumberFormat="1" applyFont="1" applyBorder="1"/>
    <xf numFmtId="44" fontId="19" fillId="0" borderId="44" xfId="0" applyNumberFormat="1" applyFont="1" applyBorder="1"/>
    <xf numFmtId="44" fontId="19" fillId="0" borderId="44" xfId="2" quotePrefix="1" applyFont="1" applyBorder="1"/>
    <xf numFmtId="44" fontId="19" fillId="0" borderId="57" xfId="0" applyNumberFormat="1" applyFont="1" applyBorder="1"/>
    <xf numFmtId="17" fontId="19" fillId="0" borderId="0" xfId="0" applyNumberFormat="1" applyFont="1" applyAlignment="1">
      <alignment horizontal="center" vertical="center"/>
    </xf>
    <xf numFmtId="44" fontId="8" fillId="0" borderId="0" xfId="2" quotePrefix="1" applyFont="1" applyBorder="1"/>
    <xf numFmtId="44" fontId="8" fillId="0" borderId="0" xfId="0" applyNumberFormat="1" applyFont="1"/>
    <xf numFmtId="8" fontId="19" fillId="0" borderId="0" xfId="0" applyNumberFormat="1" applyFont="1"/>
    <xf numFmtId="3" fontId="0" fillId="0" borderId="0" xfId="0" applyNumberFormat="1"/>
    <xf numFmtId="44" fontId="28" fillId="0" borderId="53" xfId="0" applyNumberFormat="1" applyFont="1" applyBorder="1"/>
    <xf numFmtId="17" fontId="37" fillId="0" borderId="13" xfId="0" applyNumberFormat="1" applyFont="1" applyBorder="1"/>
    <xf numFmtId="17" fontId="36" fillId="15" borderId="13" xfId="0" applyNumberFormat="1" applyFont="1" applyFill="1" applyBorder="1"/>
    <xf numFmtId="0" fontId="7" fillId="7" borderId="40" xfId="0" applyFont="1" applyFill="1" applyBorder="1" applyAlignment="1">
      <alignment horizontal="left" vertical="center"/>
    </xf>
    <xf numFmtId="3" fontId="11" fillId="0" borderId="13" xfId="0" applyNumberFormat="1" applyFont="1" applyBorder="1"/>
    <xf numFmtId="173" fontId="13" fillId="0" borderId="0" xfId="3" applyNumberFormat="1" applyFont="1"/>
    <xf numFmtId="17" fontId="11" fillId="0" borderId="58" xfId="0" applyNumberFormat="1" applyFont="1" applyBorder="1"/>
    <xf numFmtId="17" fontId="7" fillId="7" borderId="13" xfId="0" applyNumberFormat="1" applyFont="1" applyFill="1" applyBorder="1" applyAlignment="1">
      <alignment horizontal="right"/>
    </xf>
    <xf numFmtId="0" fontId="11" fillId="0" borderId="13" xfId="3" applyNumberFormat="1" applyFont="1" applyFill="1" applyBorder="1" applyAlignment="1">
      <alignment vertical="center"/>
    </xf>
    <xf numFmtId="14" fontId="11" fillId="0" borderId="13" xfId="3" applyNumberFormat="1" applyFont="1" applyFill="1" applyBorder="1" applyAlignment="1">
      <alignment vertical="center"/>
    </xf>
    <xf numFmtId="1" fontId="11" fillId="0" borderId="13" xfId="3" applyNumberFormat="1" applyFont="1" applyFill="1" applyBorder="1" applyAlignment="1">
      <alignment vertical="center"/>
    </xf>
    <xf numFmtId="17" fontId="32" fillId="0" borderId="23" xfId="0" applyNumberFormat="1" applyFont="1" applyBorder="1"/>
    <xf numFmtId="17" fontId="11" fillId="0" borderId="58" xfId="0" quotePrefix="1" applyNumberFormat="1" applyFont="1" applyBorder="1" applyAlignment="1">
      <alignment horizontal="right"/>
    </xf>
    <xf numFmtId="44" fontId="11" fillId="0" borderId="0" xfId="2" applyFont="1"/>
    <xf numFmtId="14" fontId="11" fillId="3" borderId="0" xfId="0" applyNumberFormat="1" applyFont="1" applyFill="1" applyAlignment="1">
      <alignment horizontal="center"/>
    </xf>
    <xf numFmtId="17" fontId="11" fillId="0" borderId="0" xfId="0" applyNumberFormat="1" applyFont="1" applyAlignment="1">
      <alignment horizontal="right"/>
    </xf>
    <xf numFmtId="17" fontId="8" fillId="0" borderId="0" xfId="0" applyNumberFormat="1" applyFont="1"/>
    <xf numFmtId="43" fontId="8" fillId="0" borderId="0" xfId="3" applyFont="1" applyBorder="1" applyAlignment="1">
      <alignment vertical="center"/>
    </xf>
    <xf numFmtId="10" fontId="8" fillId="0" borderId="0" xfId="3" applyNumberFormat="1" applyFont="1" applyBorder="1" applyAlignment="1">
      <alignment vertical="center"/>
    </xf>
    <xf numFmtId="44" fontId="8" fillId="0" borderId="0" xfId="2" applyFont="1" applyBorder="1" applyAlignment="1">
      <alignment vertical="center"/>
    </xf>
    <xf numFmtId="0" fontId="8" fillId="0" borderId="0" xfId="3" applyNumberFormat="1" applyFont="1" applyBorder="1" applyAlignment="1">
      <alignment vertical="center"/>
    </xf>
    <xf numFmtId="44" fontId="11" fillId="0" borderId="13" xfId="0" applyNumberFormat="1" applyFont="1" applyBorder="1"/>
    <xf numFmtId="17" fontId="13" fillId="15" borderId="13" xfId="0" applyNumberFormat="1" applyFont="1" applyFill="1" applyBorder="1"/>
    <xf numFmtId="17" fontId="22" fillId="0" borderId="13" xfId="0" applyNumberFormat="1" applyFont="1" applyBorder="1" applyAlignment="1">
      <alignment horizontal="right"/>
    </xf>
    <xf numFmtId="0" fontId="22" fillId="0" borderId="13" xfId="0" applyFont="1" applyBorder="1"/>
    <xf numFmtId="167" fontId="22" fillId="0" borderId="13" xfId="0" applyNumberFormat="1" applyFont="1" applyBorder="1"/>
    <xf numFmtId="166" fontId="22" fillId="0" borderId="13" xfId="0" applyNumberFormat="1" applyFont="1" applyBorder="1"/>
    <xf numFmtId="17" fontId="25" fillId="0" borderId="52" xfId="0" applyNumberFormat="1" applyFont="1" applyBorder="1" applyAlignment="1">
      <alignment horizontal="center" vertical="center"/>
    </xf>
    <xf numFmtId="44" fontId="25" fillId="0" borderId="41" xfId="0" applyNumberFormat="1" applyFont="1" applyBorder="1"/>
    <xf numFmtId="44" fontId="25" fillId="0" borderId="0" xfId="0" applyNumberFormat="1" applyFont="1"/>
    <xf numFmtId="44" fontId="25" fillId="0" borderId="0" xfId="2" quotePrefix="1" applyFont="1" applyBorder="1"/>
    <xf numFmtId="44" fontId="25" fillId="0" borderId="53" xfId="0" applyNumberFormat="1" applyFont="1" applyBorder="1"/>
    <xf numFmtId="44" fontId="11" fillId="0" borderId="0" xfId="2" applyFont="1" applyAlignment="1">
      <alignment vertical="top" wrapText="1"/>
    </xf>
    <xf numFmtId="0" fontId="0" fillId="0" borderId="0" xfId="0" applyAlignment="1">
      <alignment vertical="center"/>
    </xf>
    <xf numFmtId="171" fontId="11" fillId="3" borderId="13" xfId="2" applyNumberFormat="1" applyFont="1" applyFill="1" applyBorder="1" applyAlignment="1">
      <alignment horizontal="center"/>
    </xf>
    <xf numFmtId="167" fontId="10" fillId="0" borderId="13" xfId="0" applyNumberFormat="1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17" fontId="7" fillId="0" borderId="13" xfId="0" applyNumberFormat="1" applyFont="1" applyBorder="1"/>
    <xf numFmtId="0" fontId="7" fillId="0" borderId="13" xfId="0" applyFont="1" applyBorder="1" applyAlignment="1">
      <alignment horizontal="left" vertical="center"/>
    </xf>
    <xf numFmtId="0" fontId="0" fillId="0" borderId="0" xfId="0" applyAlignment="1">
      <alignment horizontal="right"/>
    </xf>
    <xf numFmtId="172" fontId="15" fillId="0" borderId="59" xfId="3" quotePrefix="1" applyNumberFormat="1" applyFont="1" applyBorder="1" applyAlignment="1">
      <alignment horizontal="right" vertical="center"/>
    </xf>
    <xf numFmtId="17" fontId="10" fillId="0" borderId="14" xfId="0" applyNumberFormat="1" applyFont="1" applyBorder="1" applyAlignment="1">
      <alignment horizontal="right"/>
    </xf>
    <xf numFmtId="172" fontId="15" fillId="0" borderId="14" xfId="3" quotePrefix="1" applyNumberFormat="1" applyFont="1" applyBorder="1" applyAlignment="1">
      <alignment horizontal="right" vertical="center"/>
    </xf>
    <xf numFmtId="17" fontId="15" fillId="0" borderId="14" xfId="0" applyNumberFormat="1" applyFont="1" applyBorder="1"/>
    <xf numFmtId="17" fontId="11" fillId="0" borderId="60" xfId="0" applyNumberFormat="1" applyFont="1" applyBorder="1"/>
    <xf numFmtId="4" fontId="11" fillId="0" borderId="60" xfId="0" applyNumberFormat="1" applyFont="1" applyBorder="1"/>
    <xf numFmtId="0" fontId="11" fillId="0" borderId="60" xfId="0" applyFont="1" applyBorder="1"/>
    <xf numFmtId="165" fontId="11" fillId="0" borderId="60" xfId="0" applyNumberFormat="1" applyFont="1" applyBorder="1"/>
    <xf numFmtId="10" fontId="11" fillId="0" borderId="13" xfId="1" applyNumberFormat="1" applyFont="1" applyFill="1" applyBorder="1"/>
    <xf numFmtId="175" fontId="38" fillId="0" borderId="23" xfId="0" applyNumberFormat="1" applyFont="1" applyBorder="1" applyAlignment="1">
      <alignment horizontal="center"/>
    </xf>
    <xf numFmtId="17" fontId="11" fillId="0" borderId="38" xfId="0" applyNumberFormat="1" applyFont="1" applyBorder="1"/>
    <xf numFmtId="167" fontId="11" fillId="0" borderId="40" xfId="0" applyNumberFormat="1" applyFont="1" applyBorder="1"/>
    <xf numFmtId="0" fontId="7" fillId="7" borderId="61" xfId="0" applyFont="1" applyFill="1" applyBorder="1" applyAlignment="1">
      <alignment horizontal="left" vertical="center"/>
    </xf>
    <xf numFmtId="0" fontId="10" fillId="0" borderId="15" xfId="0" applyFont="1" applyBorder="1" applyAlignment="1">
      <alignment horizontal="center"/>
    </xf>
    <xf numFmtId="0" fontId="0" fillId="0" borderId="23" xfId="0" applyBorder="1" applyAlignment="1">
      <alignment horizontal="right"/>
    </xf>
    <xf numFmtId="0" fontId="11" fillId="0" borderId="13" xfId="0" applyFont="1" applyBorder="1" applyAlignment="1">
      <alignment horizontal="right"/>
    </xf>
    <xf numFmtId="165" fontId="11" fillId="0" borderId="14" xfId="0" applyNumberFormat="1" applyFont="1" applyBorder="1"/>
    <xf numFmtId="172" fontId="8" fillId="0" borderId="23" xfId="3" quotePrefix="1" applyNumberFormat="1" applyFont="1" applyFill="1" applyBorder="1" applyAlignment="1">
      <alignment horizontal="right" vertical="center"/>
    </xf>
    <xf numFmtId="0" fontId="4" fillId="0" borderId="60" xfId="0" applyFont="1" applyBorder="1" applyAlignment="1">
      <alignment horizontal="center" vertical="center"/>
    </xf>
    <xf numFmtId="0" fontId="8" fillId="0" borderId="13" xfId="0" quotePrefix="1" applyFont="1" applyBorder="1"/>
    <xf numFmtId="165" fontId="0" fillId="0" borderId="23" xfId="0" applyNumberFormat="1" applyBorder="1"/>
    <xf numFmtId="0" fontId="40" fillId="0" borderId="0" xfId="0" applyFont="1"/>
    <xf numFmtId="0" fontId="4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7" fillId="17" borderId="13" xfId="0" applyFont="1" applyFill="1" applyBorder="1" applyAlignment="1">
      <alignment horizontal="center" vertical="center" wrapText="1"/>
    </xf>
    <xf numFmtId="0" fontId="7" fillId="15" borderId="13" xfId="0" applyFont="1" applyFill="1" applyBorder="1" applyAlignment="1">
      <alignment vertical="center"/>
    </xf>
    <xf numFmtId="2" fontId="11" fillId="0" borderId="13" xfId="0" applyNumberFormat="1" applyFont="1" applyBorder="1"/>
    <xf numFmtId="2" fontId="25" fillId="11" borderId="42" xfId="0" applyNumberFormat="1" applyFont="1" applyFill="1" applyBorder="1"/>
    <xf numFmtId="17" fontId="8" fillId="0" borderId="23" xfId="3" quotePrefix="1" applyNumberFormat="1" applyFont="1" applyBorder="1" applyAlignment="1">
      <alignment horizontal="right" vertical="center"/>
    </xf>
    <xf numFmtId="165" fontId="0" fillId="0" borderId="13" xfId="0" applyNumberFormat="1" applyBorder="1"/>
    <xf numFmtId="176" fontId="0" fillId="0" borderId="13" xfId="0" applyNumberFormat="1" applyBorder="1"/>
    <xf numFmtId="17" fontId="25" fillId="0" borderId="42" xfId="0" applyNumberFormat="1" applyFont="1" applyBorder="1" applyAlignment="1">
      <alignment horizontal="center" vertical="center"/>
    </xf>
    <xf numFmtId="44" fontId="25" fillId="0" borderId="0" xfId="2" quotePrefix="1" applyFont="1" applyFill="1" applyBorder="1"/>
    <xf numFmtId="17" fontId="25" fillId="0" borderId="42" xfId="0" applyNumberFormat="1" applyFont="1" applyBorder="1"/>
    <xf numFmtId="0" fontId="25" fillId="11" borderId="42" xfId="0" applyFont="1" applyFill="1" applyBorder="1"/>
    <xf numFmtId="4" fontId="25" fillId="11" borderId="42" xfId="0" applyNumberFormat="1" applyFont="1" applyFill="1" applyBorder="1"/>
    <xf numFmtId="17" fontId="25" fillId="0" borderId="42" xfId="0" quotePrefix="1" applyNumberFormat="1" applyFont="1" applyBorder="1" applyAlignment="1">
      <alignment horizontal="right"/>
    </xf>
    <xf numFmtId="2" fontId="25" fillId="0" borderId="42" xfId="0" applyNumberFormat="1" applyFont="1" applyBorder="1"/>
    <xf numFmtId="177" fontId="11" fillId="0" borderId="13" xfId="0" applyNumberFormat="1" applyFont="1" applyBorder="1"/>
    <xf numFmtId="177" fontId="11" fillId="0" borderId="40" xfId="0" applyNumberFormat="1" applyFont="1" applyBorder="1"/>
    <xf numFmtId="43" fontId="0" fillId="0" borderId="23" xfId="3" applyFont="1" applyBorder="1"/>
    <xf numFmtId="43" fontId="11" fillId="0" borderId="60" xfId="3" applyFont="1" applyBorder="1"/>
    <xf numFmtId="43" fontId="11" fillId="0" borderId="14" xfId="3" applyFont="1" applyBorder="1"/>
    <xf numFmtId="0" fontId="42" fillId="18" borderId="23" xfId="7" applyFill="1" applyBorder="1"/>
    <xf numFmtId="4" fontId="42" fillId="18" borderId="23" xfId="7" applyNumberFormat="1" applyFill="1" applyBorder="1"/>
    <xf numFmtId="17" fontId="8" fillId="0" borderId="52" xfId="0" applyNumberFormat="1" applyFont="1" applyBorder="1" applyAlignment="1">
      <alignment horizontal="center" vertical="center"/>
    </xf>
    <xf numFmtId="44" fontId="8" fillId="0" borderId="41" xfId="0" applyNumberFormat="1" applyFont="1" applyBorder="1"/>
    <xf numFmtId="44" fontId="8" fillId="0" borderId="53" xfId="0" applyNumberFormat="1" applyFont="1" applyBorder="1"/>
    <xf numFmtId="0" fontId="8" fillId="0" borderId="0" xfId="0" applyFont="1"/>
    <xf numFmtId="176" fontId="6" fillId="0" borderId="31" xfId="0" applyNumberFormat="1" applyFont="1" applyBorder="1" applyAlignment="1">
      <alignment horizontal="center" vertical="center"/>
    </xf>
    <xf numFmtId="176" fontId="0" fillId="0" borderId="31" xfId="0" applyNumberFormat="1" applyBorder="1" applyAlignment="1">
      <alignment vertical="center"/>
    </xf>
    <xf numFmtId="176" fontId="38" fillId="0" borderId="23" xfId="0" applyNumberFormat="1" applyFont="1" applyBorder="1" applyAlignment="1">
      <alignment horizontal="center"/>
    </xf>
    <xf numFmtId="0" fontId="11" fillId="3" borderId="13" xfId="2" applyNumberFormat="1" applyFont="1" applyFill="1" applyBorder="1" applyAlignment="1">
      <alignment horizontal="center"/>
    </xf>
    <xf numFmtId="2" fontId="0" fillId="0" borderId="13" xfId="0" applyNumberFormat="1" applyBorder="1"/>
    <xf numFmtId="4" fontId="0" fillId="0" borderId="23" xfId="3" applyNumberFormat="1" applyFont="1" applyBorder="1"/>
    <xf numFmtId="4" fontId="11" fillId="0" borderId="14" xfId="0" applyNumberFormat="1" applyFont="1" applyBorder="1"/>
    <xf numFmtId="4" fontId="0" fillId="0" borderId="23" xfId="0" applyNumberFormat="1" applyBorder="1"/>
    <xf numFmtId="4" fontId="0" fillId="0" borderId="23" xfId="8" applyNumberFormat="1" applyFont="1" applyBorder="1"/>
    <xf numFmtId="17" fontId="11" fillId="11" borderId="13" xfId="0" applyNumberFormat="1" applyFont="1" applyFill="1" applyBorder="1" applyAlignment="1">
      <alignment horizontal="right"/>
    </xf>
    <xf numFmtId="43" fontId="8" fillId="11" borderId="13" xfId="3" applyFont="1" applyFill="1" applyBorder="1" applyAlignment="1">
      <alignment vertical="center"/>
    </xf>
    <xf numFmtId="10" fontId="8" fillId="11" borderId="13" xfId="3" applyNumberFormat="1" applyFont="1" applyFill="1" applyBorder="1" applyAlignment="1">
      <alignment vertical="center"/>
    </xf>
    <xf numFmtId="44" fontId="8" fillId="11" borderId="13" xfId="2" applyFont="1" applyFill="1" applyBorder="1" applyAlignment="1">
      <alignment vertical="center"/>
    </xf>
    <xf numFmtId="0" fontId="8" fillId="11" borderId="13" xfId="3" applyNumberFormat="1" applyFont="1" applyFill="1" applyBorder="1" applyAlignment="1">
      <alignment vertical="center"/>
    </xf>
    <xf numFmtId="0" fontId="0" fillId="11" borderId="0" xfId="0" applyFill="1"/>
    <xf numFmtId="8" fontId="0" fillId="11" borderId="0" xfId="0" applyNumberFormat="1" applyFill="1"/>
    <xf numFmtId="44" fontId="0" fillId="11" borderId="0" xfId="0" applyNumberFormat="1" applyFill="1"/>
    <xf numFmtId="43" fontId="11" fillId="0" borderId="13" xfId="3" applyFont="1" applyBorder="1"/>
    <xf numFmtId="17" fontId="11" fillId="11" borderId="13" xfId="0" applyNumberFormat="1" applyFont="1" applyFill="1" applyBorder="1"/>
    <xf numFmtId="0" fontId="11" fillId="11" borderId="13" xfId="0" applyFont="1" applyFill="1" applyBorder="1"/>
    <xf numFmtId="0" fontId="11" fillId="11" borderId="13" xfId="0" quotePrefix="1" applyFont="1" applyFill="1" applyBorder="1"/>
    <xf numFmtId="14" fontId="11" fillId="11" borderId="13" xfId="0" applyNumberFormat="1" applyFont="1" applyFill="1" applyBorder="1"/>
    <xf numFmtId="44" fontId="11" fillId="11" borderId="13" xfId="2" applyFont="1" applyFill="1" applyBorder="1"/>
    <xf numFmtId="8" fontId="11" fillId="11" borderId="13" xfId="0" applyNumberFormat="1" applyFont="1" applyFill="1" applyBorder="1"/>
    <xf numFmtId="44" fontId="11" fillId="11" borderId="13" xfId="0" applyNumberFormat="1" applyFont="1" applyFill="1" applyBorder="1"/>
    <xf numFmtId="44" fontId="0" fillId="0" borderId="0" xfId="2" applyFont="1" applyBorder="1"/>
    <xf numFmtId="44" fontId="32" fillId="11" borderId="13" xfId="0" applyNumberFormat="1" applyFont="1" applyFill="1" applyBorder="1"/>
    <xf numFmtId="8" fontId="32" fillId="11" borderId="13" xfId="0" applyNumberFormat="1" applyFont="1" applyFill="1" applyBorder="1"/>
    <xf numFmtId="43" fontId="8" fillId="0" borderId="13" xfId="3" applyFont="1" applyFill="1" applyBorder="1" applyAlignment="1">
      <alignment vertical="center"/>
    </xf>
    <xf numFmtId="10" fontId="8" fillId="0" borderId="13" xfId="3" applyNumberFormat="1" applyFont="1" applyFill="1" applyBorder="1" applyAlignment="1">
      <alignment vertical="center"/>
    </xf>
    <xf numFmtId="0" fontId="8" fillId="0" borderId="13" xfId="3" applyNumberFormat="1" applyFont="1" applyFill="1" applyBorder="1" applyAlignment="1">
      <alignment vertical="center"/>
    </xf>
    <xf numFmtId="0" fontId="11" fillId="0" borderId="13" xfId="2" applyNumberFormat="1" applyFont="1" applyBorder="1"/>
    <xf numFmtId="44" fontId="10" fillId="3" borderId="13" xfId="2" applyFont="1" applyFill="1" applyBorder="1" applyAlignment="1">
      <alignment horizontal="center"/>
    </xf>
    <xf numFmtId="166" fontId="0" fillId="3" borderId="13" xfId="0" applyNumberFormat="1" applyFill="1" applyBorder="1"/>
    <xf numFmtId="17" fontId="11" fillId="19" borderId="13" xfId="0" applyNumberFormat="1" applyFont="1" applyFill="1" applyBorder="1"/>
    <xf numFmtId="0" fontId="11" fillId="19" borderId="13" xfId="0" applyFont="1" applyFill="1" applyBorder="1"/>
    <xf numFmtId="14" fontId="11" fillId="19" borderId="13" xfId="0" applyNumberFormat="1" applyFont="1" applyFill="1" applyBorder="1"/>
    <xf numFmtId="44" fontId="11" fillId="19" borderId="13" xfId="0" applyNumberFormat="1" applyFont="1" applyFill="1" applyBorder="1"/>
    <xf numFmtId="8" fontId="11" fillId="19" borderId="13" xfId="2" applyNumberFormat="1" applyFont="1" applyFill="1" applyBorder="1"/>
    <xf numFmtId="8" fontId="11" fillId="19" borderId="13" xfId="0" applyNumberFormat="1" applyFont="1" applyFill="1" applyBorder="1"/>
    <xf numFmtId="8" fontId="0" fillId="19" borderId="0" xfId="0" applyNumberFormat="1" applyFill="1"/>
    <xf numFmtId="4" fontId="11" fillId="19" borderId="16" xfId="0" applyNumberFormat="1" applyFont="1" applyFill="1" applyBorder="1"/>
    <xf numFmtId="4" fontId="0" fillId="19" borderId="0" xfId="0" applyNumberFormat="1" applyFill="1"/>
    <xf numFmtId="0" fontId="6" fillId="0" borderId="13" xfId="0" applyFont="1" applyBorder="1"/>
    <xf numFmtId="8" fontId="6" fillId="11" borderId="13" xfId="0" applyNumberFormat="1" applyFont="1" applyFill="1" applyBorder="1"/>
    <xf numFmtId="0" fontId="23" fillId="0" borderId="0" xfId="0" applyFont="1" applyAlignment="1">
      <alignment horizontal="center" vertical="center"/>
    </xf>
    <xf numFmtId="44" fontId="11" fillId="0" borderId="0" xfId="2" applyFont="1" applyAlignment="1">
      <alignment horizontal="center" vertical="top" wrapText="1"/>
    </xf>
    <xf numFmtId="0" fontId="14" fillId="13" borderId="0" xfId="0" applyFont="1" applyFill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15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21" fillId="14" borderId="0" xfId="0" applyFont="1" applyFill="1" applyAlignment="1">
      <alignment horizontal="center" vertical="center"/>
    </xf>
    <xf numFmtId="0" fontId="7" fillId="15" borderId="13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9" fontId="0" fillId="0" borderId="25" xfId="1" applyFont="1" applyBorder="1" applyAlignment="1">
      <alignment horizontal="center" vertical="center"/>
    </xf>
    <xf numFmtId="9" fontId="0" fillId="0" borderId="26" xfId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9" fontId="0" fillId="0" borderId="25" xfId="1" applyFont="1" applyFill="1" applyBorder="1" applyAlignment="1">
      <alignment horizontal="center" vertical="center"/>
    </xf>
    <xf numFmtId="9" fontId="0" fillId="0" borderId="26" xfId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7" fillId="15" borderId="8" xfId="0" applyFont="1" applyFill="1" applyBorder="1" applyAlignment="1">
      <alignment horizontal="center" vertical="center" wrapText="1"/>
    </xf>
    <xf numFmtId="0" fontId="7" fillId="15" borderId="9" xfId="0" applyFont="1" applyFill="1" applyBorder="1" applyAlignment="1">
      <alignment horizontal="center" vertical="center" wrapText="1"/>
    </xf>
    <xf numFmtId="0" fontId="7" fillId="15" borderId="10" xfId="0" applyFont="1" applyFill="1" applyBorder="1" applyAlignment="1">
      <alignment horizontal="center" vertical="center" wrapText="1"/>
    </xf>
    <xf numFmtId="17" fontId="11" fillId="0" borderId="36" xfId="0" applyNumberFormat="1" applyFont="1" applyBorder="1" applyAlignment="1">
      <alignment horizontal="center"/>
    </xf>
    <xf numFmtId="17" fontId="11" fillId="0" borderId="37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8" fillId="0" borderId="7" xfId="0" applyNumberFormat="1" applyFont="1" applyBorder="1" applyAlignment="1">
      <alignment horizontal="left" wrapText="1"/>
    </xf>
    <xf numFmtId="0" fontId="0" fillId="2" borderId="36" xfId="0" applyFill="1" applyBorder="1" applyAlignment="1">
      <alignment vertical="center" wrapText="1"/>
    </xf>
    <xf numFmtId="0" fontId="0" fillId="2" borderId="37" xfId="0" applyFill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7" fillId="15" borderId="12" xfId="0" applyFont="1" applyFill="1" applyBorder="1" applyAlignment="1">
      <alignment vertical="center" wrapText="1"/>
    </xf>
    <xf numFmtId="0" fontId="7" fillId="15" borderId="0" xfId="0" applyFont="1" applyFill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0" fillId="14" borderId="0" xfId="0" applyFill="1" applyAlignment="1">
      <alignment horizontal="left" vertical="top" wrapText="1"/>
    </xf>
    <xf numFmtId="0" fontId="27" fillId="0" borderId="0" xfId="0" applyFont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15" borderId="38" xfId="0" applyFont="1" applyFill="1" applyBorder="1" applyAlignment="1">
      <alignment horizontal="center" vertical="center"/>
    </xf>
    <xf numFmtId="0" fontId="7" fillId="15" borderId="39" xfId="0" applyFont="1" applyFill="1" applyBorder="1" applyAlignment="1">
      <alignment horizontal="center" vertical="center"/>
    </xf>
    <xf numFmtId="0" fontId="7" fillId="15" borderId="40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7" fillId="15" borderId="41" xfId="0" applyFont="1" applyFill="1" applyBorder="1" applyAlignment="1">
      <alignment horizontal="center"/>
    </xf>
    <xf numFmtId="0" fontId="7" fillId="15" borderId="0" xfId="0" applyFont="1" applyFill="1" applyAlignment="1">
      <alignment horizontal="center"/>
    </xf>
    <xf numFmtId="0" fontId="22" fillId="0" borderId="4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49" fontId="34" fillId="15" borderId="45" xfId="5" applyNumberFormat="1" applyFont="1" applyFill="1" applyBorder="1" applyAlignment="1">
      <alignment horizontal="center" vertical="center" wrapText="1"/>
    </xf>
    <xf numFmtId="49" fontId="34" fillId="15" borderId="46" xfId="5" applyNumberFormat="1" applyFont="1" applyFill="1" applyBorder="1" applyAlignment="1">
      <alignment horizontal="center" vertical="center" wrapText="1"/>
    </xf>
    <xf numFmtId="17" fontId="25" fillId="0" borderId="54" xfId="0" applyNumberFormat="1" applyFont="1" applyBorder="1" applyAlignment="1">
      <alignment horizontal="center"/>
    </xf>
    <xf numFmtId="17" fontId="25" fillId="0" borderId="55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9">
    <cellStyle name="Moeda" xfId="2" builtinId="4"/>
    <cellStyle name="Moeda 2" xfId="4" xr:uid="{00000000-0005-0000-0000-000001000000}"/>
    <cellStyle name="Normal" xfId="0" builtinId="0"/>
    <cellStyle name="Normal 2" xfId="6" xr:uid="{BC95D651-6946-4852-897A-BC62B6DC3F48}"/>
    <cellStyle name="Normal 2 2" xfId="5" xr:uid="{00000000-0005-0000-0000-000003000000}"/>
    <cellStyle name="Normal 3" xfId="7" xr:uid="{E92BC9A4-B3BF-4C38-ACAE-A51089D5B5C5}"/>
    <cellStyle name="Porcentagem" xfId="1" builtinId="5"/>
    <cellStyle name="Vírgula" xfId="3" builtinId="3"/>
    <cellStyle name="Vírgula 2" xfId="8" xr:uid="{C1780EA3-1F93-4AD9-AB8E-51949388B979}"/>
  </cellStyles>
  <dxfs count="0"/>
  <tableStyles count="0" defaultTableStyle="TableStyleMedium2" defaultPivotStyle="PivotStyleLight16"/>
  <colors>
    <mruColors>
      <color rgb="FF06038D"/>
      <color rgb="FF000C4C"/>
      <color rgb="FF08296C"/>
      <color rgb="FFFFCB05"/>
      <color rgb="FFB8DDE1"/>
      <color rgb="FF00FFFF"/>
      <color rgb="FF00B1EB"/>
      <color rgb="FF0E2050"/>
      <color rgb="FFF99D33"/>
      <color rgb="FFEF41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18" Type="http://schemas.openxmlformats.org/officeDocument/2006/relationships/image" Target="../media/image28.png"/><Relationship Id="rId3" Type="http://schemas.openxmlformats.org/officeDocument/2006/relationships/image" Target="../media/image13.png"/><Relationship Id="rId21" Type="http://schemas.openxmlformats.org/officeDocument/2006/relationships/image" Target="../media/image31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17" Type="http://schemas.openxmlformats.org/officeDocument/2006/relationships/image" Target="../media/image27.png"/><Relationship Id="rId2" Type="http://schemas.openxmlformats.org/officeDocument/2006/relationships/image" Target="../media/image12.png"/><Relationship Id="rId16" Type="http://schemas.openxmlformats.org/officeDocument/2006/relationships/image" Target="../media/image26.png"/><Relationship Id="rId20" Type="http://schemas.openxmlformats.org/officeDocument/2006/relationships/image" Target="../media/image30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5.png"/><Relationship Id="rId10" Type="http://schemas.openxmlformats.org/officeDocument/2006/relationships/image" Target="../media/image20.png"/><Relationship Id="rId19" Type="http://schemas.openxmlformats.org/officeDocument/2006/relationships/image" Target="../media/image29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image" Target="../media/image2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133350</xdr:rowOff>
    </xdr:from>
    <xdr:to>
      <xdr:col>2</xdr:col>
      <xdr:colOff>514350</xdr:colOff>
      <xdr:row>2</xdr:row>
      <xdr:rowOff>16638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2942A4-9129-43AB-AD85-849DD5005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33350"/>
          <a:ext cx="1381125" cy="26428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133350</xdr:rowOff>
    </xdr:from>
    <xdr:to>
      <xdr:col>3</xdr:col>
      <xdr:colOff>304800</xdr:colOff>
      <xdr:row>2</xdr:row>
      <xdr:rowOff>16638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FC9C53A-40F6-4D7B-ACE2-D836D2A3F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133350"/>
          <a:ext cx="1381125" cy="26428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2</xdr:col>
      <xdr:colOff>390525</xdr:colOff>
      <xdr:row>2</xdr:row>
      <xdr:rowOff>73788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2659EDC-35EF-4940-9D25-8C3DC92B0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190500"/>
          <a:ext cx="1381125" cy="26428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152400</xdr:rowOff>
    </xdr:from>
    <xdr:to>
      <xdr:col>2</xdr:col>
      <xdr:colOff>942975</xdr:colOff>
      <xdr:row>2</xdr:row>
      <xdr:rowOff>35688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C4CC570-9D4D-4F88-A3C4-717C9ADD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152400"/>
          <a:ext cx="1381125" cy="264288"/>
        </a:xfrm>
        <a:prstGeom prst="rect">
          <a:avLst/>
        </a:prstGeom>
      </xdr:spPr>
    </xdr:pic>
    <xdr:clientData/>
  </xdr:twoCellAnchor>
  <xdr:twoCellAnchor editAs="oneCell">
    <xdr:from>
      <xdr:col>0</xdr:col>
      <xdr:colOff>164811</xdr:colOff>
      <xdr:row>27</xdr:row>
      <xdr:rowOff>40820</xdr:rowOff>
    </xdr:from>
    <xdr:to>
      <xdr:col>4</xdr:col>
      <xdr:colOff>2174775</xdr:colOff>
      <xdr:row>44</xdr:row>
      <xdr:rowOff>141555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9A6C7F-D72D-481A-9AD5-DC3D5346E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811" y="5197927"/>
          <a:ext cx="5017143" cy="31110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38100</xdr:rowOff>
    </xdr:from>
    <xdr:to>
      <xdr:col>2</xdr:col>
      <xdr:colOff>638175</xdr:colOff>
      <xdr:row>2</xdr:row>
      <xdr:rowOff>111888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12921C0-CCF2-402E-9882-A3D2C7BA7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228600"/>
          <a:ext cx="1381125" cy="264288"/>
        </a:xfrm>
        <a:prstGeom prst="rect">
          <a:avLst/>
        </a:prstGeom>
      </xdr:spPr>
    </xdr:pic>
    <xdr:clientData/>
  </xdr:twoCellAnchor>
  <xdr:twoCellAnchor editAs="oneCell">
    <xdr:from>
      <xdr:col>1</xdr:col>
      <xdr:colOff>565150</xdr:colOff>
      <xdr:row>54</xdr:row>
      <xdr:rowOff>6350</xdr:rowOff>
    </xdr:from>
    <xdr:to>
      <xdr:col>3</xdr:col>
      <xdr:colOff>2402115</xdr:colOff>
      <xdr:row>66</xdr:row>
      <xdr:rowOff>168607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24D778F-33F8-1C01-C664-A033F57BC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5650" y="11836400"/>
          <a:ext cx="3629532" cy="2372056"/>
        </a:xfrm>
        <a:prstGeom prst="rect">
          <a:avLst/>
        </a:prstGeom>
      </xdr:spPr>
    </xdr:pic>
    <xdr:clientData/>
  </xdr:twoCellAnchor>
  <xdr:twoCellAnchor editAs="oneCell">
    <xdr:from>
      <xdr:col>4</xdr:col>
      <xdr:colOff>694764</xdr:colOff>
      <xdr:row>54</xdr:row>
      <xdr:rowOff>56030</xdr:rowOff>
    </xdr:from>
    <xdr:to>
      <xdr:col>6</xdr:col>
      <xdr:colOff>1201555</xdr:colOff>
      <xdr:row>66</xdr:row>
      <xdr:rowOff>56031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D2FAE02-7AFF-DA02-FE83-ABD556E78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30588" y="2969559"/>
          <a:ext cx="2860026" cy="2151529"/>
        </a:xfrm>
        <a:prstGeom prst="rect">
          <a:avLst/>
        </a:prstGeom>
      </xdr:spPr>
    </xdr:pic>
    <xdr:clientData/>
  </xdr:twoCellAnchor>
  <xdr:twoCellAnchor editAs="oneCell">
    <xdr:from>
      <xdr:col>7</xdr:col>
      <xdr:colOff>67235</xdr:colOff>
      <xdr:row>54</xdr:row>
      <xdr:rowOff>89649</xdr:rowOff>
    </xdr:from>
    <xdr:to>
      <xdr:col>9</xdr:col>
      <xdr:colOff>849411</xdr:colOff>
      <xdr:row>66</xdr:row>
      <xdr:rowOff>140823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CC82F16-F0D6-F6E1-B32B-E657FD3C5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11353" y="3003178"/>
          <a:ext cx="2930530" cy="2199527"/>
        </a:xfrm>
        <a:prstGeom prst="rect">
          <a:avLst/>
        </a:prstGeom>
      </xdr:spPr>
    </xdr:pic>
    <xdr:clientData/>
  </xdr:twoCellAnchor>
  <xdr:twoCellAnchor editAs="oneCell">
    <xdr:from>
      <xdr:col>9</xdr:col>
      <xdr:colOff>885265</xdr:colOff>
      <xdr:row>54</xdr:row>
      <xdr:rowOff>100854</xdr:rowOff>
    </xdr:from>
    <xdr:to>
      <xdr:col>12</xdr:col>
      <xdr:colOff>56738</xdr:colOff>
      <xdr:row>66</xdr:row>
      <xdr:rowOff>126442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5E06C4F-E53A-B909-0EC3-5BA823C6A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58500" y="3204883"/>
          <a:ext cx="2891826" cy="2177116"/>
        </a:xfrm>
        <a:prstGeom prst="rect">
          <a:avLst/>
        </a:prstGeom>
      </xdr:spPr>
    </xdr:pic>
    <xdr:clientData/>
  </xdr:twoCellAnchor>
  <xdr:twoCellAnchor editAs="oneCell">
    <xdr:from>
      <xdr:col>12</xdr:col>
      <xdr:colOff>112059</xdr:colOff>
      <xdr:row>54</xdr:row>
      <xdr:rowOff>52855</xdr:rowOff>
    </xdr:from>
    <xdr:to>
      <xdr:col>14</xdr:col>
      <xdr:colOff>1117253</xdr:colOff>
      <xdr:row>68</xdr:row>
      <xdr:rowOff>115236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8D49D9F-12EB-164B-0CCC-BA1499371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828059" y="11606120"/>
          <a:ext cx="3175960" cy="2572497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279402</xdr:colOff>
      <xdr:row>70</xdr:row>
      <xdr:rowOff>126999</xdr:rowOff>
    </xdr:from>
    <xdr:to>
      <xdr:col>4</xdr:col>
      <xdr:colOff>212612</xdr:colOff>
      <xdr:row>90</xdr:row>
      <xdr:rowOff>47626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C0C7558-F9B4-ABDE-C91B-61CC221CC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2602" y="14655799"/>
          <a:ext cx="4162310" cy="347980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367391</xdr:colOff>
      <xdr:row>1</xdr:row>
      <xdr:rowOff>255360</xdr:rowOff>
    </xdr:from>
    <xdr:to>
      <xdr:col>2</xdr:col>
      <xdr:colOff>572238</xdr:colOff>
      <xdr:row>2</xdr:row>
      <xdr:rowOff>125639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BE0BA0-1A8B-4809-B145-81C476350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566" y="439510"/>
          <a:ext cx="1946561" cy="34970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1190625</xdr:colOff>
      <xdr:row>50</xdr:row>
      <xdr:rowOff>83343</xdr:rowOff>
    </xdr:from>
    <xdr:to>
      <xdr:col>7</xdr:col>
      <xdr:colOff>1565216</xdr:colOff>
      <xdr:row>72</xdr:row>
      <xdr:rowOff>64875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D3BCC2A-FEE8-4B45-A9E7-A3B7324C4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900" y="9779793"/>
          <a:ext cx="5270441" cy="4172532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</xdr:colOff>
      <xdr:row>1</xdr:row>
      <xdr:rowOff>47625</xdr:rowOff>
    </xdr:from>
    <xdr:to>
      <xdr:col>2</xdr:col>
      <xdr:colOff>64293</xdr:colOff>
      <xdr:row>3</xdr:row>
      <xdr:rowOff>48916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DE19303-1570-4F0E-83C0-823E0683E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943" y="238125"/>
          <a:ext cx="1219200" cy="382291"/>
        </a:xfrm>
        <a:prstGeom prst="rect">
          <a:avLst/>
        </a:prstGeom>
      </xdr:spPr>
    </xdr:pic>
    <xdr:clientData/>
  </xdr:twoCellAnchor>
  <xdr:twoCellAnchor editAs="oneCell">
    <xdr:from>
      <xdr:col>8</xdr:col>
      <xdr:colOff>809625</xdr:colOff>
      <xdr:row>51</xdr:row>
      <xdr:rowOff>107156</xdr:rowOff>
    </xdr:from>
    <xdr:to>
      <xdr:col>11</xdr:col>
      <xdr:colOff>474276</xdr:colOff>
      <xdr:row>67</xdr:row>
      <xdr:rowOff>136160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914B9C2-A7D7-53EC-C321-0AF8C5B51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34750" y="9989344"/>
          <a:ext cx="3743847" cy="3077004"/>
        </a:xfrm>
        <a:prstGeom prst="rect">
          <a:avLst/>
        </a:prstGeom>
      </xdr:spPr>
    </xdr:pic>
    <xdr:clientData/>
  </xdr:twoCellAnchor>
  <xdr:twoCellAnchor editAs="oneCell">
    <xdr:from>
      <xdr:col>11</xdr:col>
      <xdr:colOff>928687</xdr:colOff>
      <xdr:row>51</xdr:row>
      <xdr:rowOff>166687</xdr:rowOff>
    </xdr:from>
    <xdr:to>
      <xdr:col>17</xdr:col>
      <xdr:colOff>161344</xdr:colOff>
      <xdr:row>68</xdr:row>
      <xdr:rowOff>69616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78B4424-C6E2-C626-B8B7-48D37B007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335250" y="10048875"/>
          <a:ext cx="3641371" cy="3141429"/>
        </a:xfrm>
        <a:prstGeom prst="rect">
          <a:avLst/>
        </a:prstGeom>
      </xdr:spPr>
    </xdr:pic>
    <xdr:clientData/>
  </xdr:twoCellAnchor>
  <xdr:twoCellAnchor editAs="oneCell">
    <xdr:from>
      <xdr:col>4</xdr:col>
      <xdr:colOff>2047875</xdr:colOff>
      <xdr:row>71</xdr:row>
      <xdr:rowOff>119063</xdr:rowOff>
    </xdr:from>
    <xdr:to>
      <xdr:col>7</xdr:col>
      <xdr:colOff>812063</xdr:colOff>
      <xdr:row>84</xdr:row>
      <xdr:rowOff>49548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74843C2-1A19-0F45-6680-CA3EA4FAF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36531" y="13811251"/>
          <a:ext cx="3658111" cy="2400635"/>
        </a:xfrm>
        <a:prstGeom prst="rect">
          <a:avLst/>
        </a:prstGeom>
      </xdr:spPr>
    </xdr:pic>
    <xdr:clientData/>
  </xdr:twoCellAnchor>
  <xdr:twoCellAnchor editAs="oneCell">
    <xdr:from>
      <xdr:col>8</xdr:col>
      <xdr:colOff>607218</xdr:colOff>
      <xdr:row>70</xdr:row>
      <xdr:rowOff>11906</xdr:rowOff>
    </xdr:from>
    <xdr:to>
      <xdr:col>11</xdr:col>
      <xdr:colOff>617994</xdr:colOff>
      <xdr:row>90</xdr:row>
      <xdr:rowOff>79122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12A8E6C-4FCC-8C11-D3E5-879A19CBD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32343" y="13513594"/>
          <a:ext cx="4096322" cy="3877216"/>
        </a:xfrm>
        <a:prstGeom prst="rect">
          <a:avLst/>
        </a:prstGeom>
      </xdr:spPr>
    </xdr:pic>
    <xdr:clientData/>
  </xdr:twoCellAnchor>
  <xdr:twoCellAnchor editAs="oneCell">
    <xdr:from>
      <xdr:col>4</xdr:col>
      <xdr:colOff>1945822</xdr:colOff>
      <xdr:row>92</xdr:row>
      <xdr:rowOff>163286</xdr:rowOff>
    </xdr:from>
    <xdr:to>
      <xdr:col>8</xdr:col>
      <xdr:colOff>350325</xdr:colOff>
      <xdr:row>109</xdr:row>
      <xdr:rowOff>87993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65D10886-CBC2-FF50-A9C1-98461BA8B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13072" y="16655143"/>
          <a:ext cx="5840353" cy="2925536"/>
        </a:xfrm>
        <a:prstGeom prst="rect">
          <a:avLst/>
        </a:prstGeom>
      </xdr:spPr>
    </xdr:pic>
    <xdr:clientData/>
  </xdr:twoCellAnchor>
  <xdr:twoCellAnchor editAs="oneCell">
    <xdr:from>
      <xdr:col>9</xdr:col>
      <xdr:colOff>154214</xdr:colOff>
      <xdr:row>92</xdr:row>
      <xdr:rowOff>81643</xdr:rowOff>
    </xdr:from>
    <xdr:to>
      <xdr:col>17</xdr:col>
      <xdr:colOff>30743</xdr:colOff>
      <xdr:row>110</xdr:row>
      <xdr:rowOff>143067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ACF4D4A-7316-408A-5BEF-50F8F3C95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754428" y="16981714"/>
          <a:ext cx="7236179" cy="3320789"/>
        </a:xfrm>
        <a:prstGeom prst="rect">
          <a:avLst/>
        </a:prstGeom>
      </xdr:spPr>
    </xdr:pic>
    <xdr:clientData/>
  </xdr:twoCellAnchor>
  <xdr:twoCellAnchor editAs="oneCell">
    <xdr:from>
      <xdr:col>4</xdr:col>
      <xdr:colOff>1755322</xdr:colOff>
      <xdr:row>111</xdr:row>
      <xdr:rowOff>54429</xdr:rowOff>
    </xdr:from>
    <xdr:to>
      <xdr:col>7</xdr:col>
      <xdr:colOff>923588</xdr:colOff>
      <xdr:row>130</xdr:row>
      <xdr:rowOff>1858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532228E2-2960-A11F-40ED-298DC2287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45679" y="21363215"/>
          <a:ext cx="4086795" cy="356284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11</xdr:col>
      <xdr:colOff>960262</xdr:colOff>
      <xdr:row>126</xdr:row>
      <xdr:rowOff>143241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75E9499E-D9EE-95BB-1B2E-8A8F16FDA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42321" y="21689786"/>
          <a:ext cx="3620005" cy="2619741"/>
        </a:xfrm>
        <a:prstGeom prst="rect">
          <a:avLst/>
        </a:prstGeom>
      </xdr:spPr>
    </xdr:pic>
    <xdr:clientData/>
  </xdr:twoCellAnchor>
  <xdr:twoCellAnchor editAs="oneCell">
    <xdr:from>
      <xdr:col>4</xdr:col>
      <xdr:colOff>1660072</xdr:colOff>
      <xdr:row>130</xdr:row>
      <xdr:rowOff>149679</xdr:rowOff>
    </xdr:from>
    <xdr:to>
      <xdr:col>7</xdr:col>
      <xdr:colOff>523496</xdr:colOff>
      <xdr:row>145</xdr:row>
      <xdr:rowOff>1739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8219A170-CE06-ABD2-27EE-C7AB4F195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150429" y="25077965"/>
          <a:ext cx="3781953" cy="2705478"/>
        </a:xfrm>
        <a:prstGeom prst="rect">
          <a:avLst/>
        </a:prstGeom>
      </xdr:spPr>
    </xdr:pic>
    <xdr:clientData/>
  </xdr:twoCellAnchor>
  <xdr:twoCellAnchor editAs="oneCell">
    <xdr:from>
      <xdr:col>7</xdr:col>
      <xdr:colOff>1551214</xdr:colOff>
      <xdr:row>129</xdr:row>
      <xdr:rowOff>172511</xdr:rowOff>
    </xdr:from>
    <xdr:to>
      <xdr:col>10</xdr:col>
      <xdr:colOff>0</xdr:colOff>
      <xdr:row>145</xdr:row>
      <xdr:rowOff>83487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C59401F-512C-FBC7-3792-0071D32E1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953750" y="24910297"/>
          <a:ext cx="3456214" cy="295897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131</xdr:row>
      <xdr:rowOff>0</xdr:rowOff>
    </xdr:from>
    <xdr:to>
      <xdr:col>15</xdr:col>
      <xdr:colOff>38624</xdr:colOff>
      <xdr:row>145</xdr:row>
      <xdr:rowOff>86109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BA367EC5-27FB-469D-7F54-DF92195D7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409964" y="25118786"/>
          <a:ext cx="3753374" cy="2753109"/>
        </a:xfrm>
        <a:prstGeom prst="rect">
          <a:avLst/>
        </a:prstGeom>
      </xdr:spPr>
    </xdr:pic>
    <xdr:clientData/>
  </xdr:twoCellAnchor>
  <xdr:twoCellAnchor editAs="oneCell">
    <xdr:from>
      <xdr:col>4</xdr:col>
      <xdr:colOff>1641928</xdr:colOff>
      <xdr:row>145</xdr:row>
      <xdr:rowOff>108856</xdr:rowOff>
    </xdr:from>
    <xdr:to>
      <xdr:col>7</xdr:col>
      <xdr:colOff>388801</xdr:colOff>
      <xdr:row>165</xdr:row>
      <xdr:rowOff>84413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2B6B1D3D-777F-76A6-04AD-24C3701CB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13714" y="26624642"/>
          <a:ext cx="3896269" cy="3600953"/>
        </a:xfrm>
        <a:prstGeom prst="rect">
          <a:avLst/>
        </a:prstGeom>
      </xdr:spPr>
    </xdr:pic>
    <xdr:clientData/>
  </xdr:twoCellAnchor>
  <xdr:twoCellAnchor editAs="oneCell">
    <xdr:from>
      <xdr:col>7</xdr:col>
      <xdr:colOff>559252</xdr:colOff>
      <xdr:row>146</xdr:row>
      <xdr:rowOff>119600</xdr:rowOff>
    </xdr:from>
    <xdr:to>
      <xdr:col>14</xdr:col>
      <xdr:colOff>769257</xdr:colOff>
      <xdr:row>168</xdr:row>
      <xdr:rowOff>45357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30D8779D-7815-0554-691A-A8997054A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383609" y="26163671"/>
          <a:ext cx="8162927" cy="3817400"/>
        </a:xfrm>
        <a:prstGeom prst="rect">
          <a:avLst/>
        </a:prstGeom>
      </xdr:spPr>
    </xdr:pic>
    <xdr:clientData/>
  </xdr:twoCellAnchor>
  <xdr:twoCellAnchor editAs="oneCell">
    <xdr:from>
      <xdr:col>4</xdr:col>
      <xdr:colOff>1303112</xdr:colOff>
      <xdr:row>170</xdr:row>
      <xdr:rowOff>1</xdr:rowOff>
    </xdr:from>
    <xdr:to>
      <xdr:col>8</xdr:col>
      <xdr:colOff>902665</xdr:colOff>
      <xdr:row>187</xdr:row>
      <xdr:rowOff>87991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45343DDA-2045-BC28-6F47-45016E938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970362" y="30289501"/>
          <a:ext cx="7056267" cy="3088819"/>
        </a:xfrm>
        <a:prstGeom prst="rect">
          <a:avLst/>
        </a:prstGeom>
      </xdr:spPr>
    </xdr:pic>
    <xdr:clientData/>
  </xdr:twoCellAnchor>
  <xdr:twoCellAnchor editAs="oneCell">
    <xdr:from>
      <xdr:col>9</xdr:col>
      <xdr:colOff>707571</xdr:colOff>
      <xdr:row>171</xdr:row>
      <xdr:rowOff>81642</xdr:rowOff>
    </xdr:from>
    <xdr:to>
      <xdr:col>14</xdr:col>
      <xdr:colOff>364217</xdr:colOff>
      <xdr:row>191</xdr:row>
      <xdr:rowOff>69469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6256510C-EA90-0163-2C44-229884C6C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328321" y="30548035"/>
          <a:ext cx="3806825" cy="3525684"/>
        </a:xfrm>
        <a:prstGeom prst="rect">
          <a:avLst/>
        </a:prstGeom>
      </xdr:spPr>
    </xdr:pic>
    <xdr:clientData/>
  </xdr:twoCellAnchor>
  <xdr:twoCellAnchor editAs="oneCell">
    <xdr:from>
      <xdr:col>4</xdr:col>
      <xdr:colOff>1197429</xdr:colOff>
      <xdr:row>189</xdr:row>
      <xdr:rowOff>160110</xdr:rowOff>
    </xdr:from>
    <xdr:to>
      <xdr:col>7</xdr:col>
      <xdr:colOff>515548</xdr:colOff>
      <xdr:row>213</xdr:row>
      <xdr:rowOff>105100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1B1133EC-BAC8-D3AB-9752-CB474B64C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864679" y="33810574"/>
          <a:ext cx="4475226" cy="4190419"/>
        </a:xfrm>
        <a:prstGeom prst="rect">
          <a:avLst/>
        </a:prstGeom>
      </xdr:spPr>
    </xdr:pic>
    <xdr:clientData/>
  </xdr:twoCellAnchor>
  <xdr:twoCellAnchor editAs="oneCell">
    <xdr:from>
      <xdr:col>7</xdr:col>
      <xdr:colOff>1793876</xdr:colOff>
      <xdr:row>191</xdr:row>
      <xdr:rowOff>1</xdr:rowOff>
    </xdr:from>
    <xdr:to>
      <xdr:col>10</xdr:col>
      <xdr:colOff>1048881</xdr:colOff>
      <xdr:row>210</xdr:row>
      <xdr:rowOff>123826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5BD1E8D2-46E5-0337-108A-AE667934E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620501" y="36544251"/>
          <a:ext cx="4477880" cy="3746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357909</xdr:colOff>
      <xdr:row>191</xdr:row>
      <xdr:rowOff>184726</xdr:rowOff>
    </xdr:from>
    <xdr:to>
      <xdr:col>17</xdr:col>
      <xdr:colOff>417434</xdr:colOff>
      <xdr:row>212</xdr:row>
      <xdr:rowOff>69272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BA70E4A3-DE0F-5AEF-6E91-A530E8853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752454" y="35663908"/>
          <a:ext cx="4643071" cy="3763819"/>
        </a:xfrm>
        <a:prstGeom prst="rect">
          <a:avLst/>
        </a:prstGeom>
      </xdr:spPr>
    </xdr:pic>
    <xdr:clientData/>
  </xdr:twoCellAnchor>
  <xdr:twoCellAnchor editAs="oneCell">
    <xdr:from>
      <xdr:col>4</xdr:col>
      <xdr:colOff>1570182</xdr:colOff>
      <xdr:row>217</xdr:row>
      <xdr:rowOff>161637</xdr:rowOff>
    </xdr:from>
    <xdr:to>
      <xdr:col>9</xdr:col>
      <xdr:colOff>897216</xdr:colOff>
      <xdr:row>236</xdr:row>
      <xdr:rowOff>173182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FDDD44BE-55AB-E970-B58D-54C55434B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234546" y="40443728"/>
          <a:ext cx="8286306" cy="35213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28575</xdr:rowOff>
    </xdr:from>
    <xdr:to>
      <xdr:col>4</xdr:col>
      <xdr:colOff>381000</xdr:colOff>
      <xdr:row>2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28575"/>
          <a:ext cx="2257425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9525</xdr:rowOff>
    </xdr:from>
    <xdr:to>
      <xdr:col>3</xdr:col>
      <xdr:colOff>85725</xdr:colOff>
      <xdr:row>2</xdr:row>
      <xdr:rowOff>83313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DFA377-064D-44AF-A261-583F79330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200025"/>
          <a:ext cx="1381125" cy="2642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1</xdr:row>
      <xdr:rowOff>0</xdr:rowOff>
    </xdr:from>
    <xdr:to>
      <xdr:col>2</xdr:col>
      <xdr:colOff>895350</xdr:colOff>
      <xdr:row>2</xdr:row>
      <xdr:rowOff>73788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3EC7E74-FD66-4F59-82D6-F997BE81B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90500"/>
          <a:ext cx="1381125" cy="2642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1</xdr:row>
      <xdr:rowOff>42235</xdr:rowOff>
    </xdr:from>
    <xdr:to>
      <xdr:col>3</xdr:col>
      <xdr:colOff>31396</xdr:colOff>
      <xdr:row>2</xdr:row>
      <xdr:rowOff>140463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E5EF7A9-85E3-48BB-BDEF-8F0C7735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333" y="232735"/>
          <a:ext cx="1492250" cy="2855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161043</xdr:rowOff>
    </xdr:from>
    <xdr:to>
      <xdr:col>2</xdr:col>
      <xdr:colOff>542925</xdr:colOff>
      <xdr:row>1</xdr:row>
      <xdr:rowOff>161924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B139D08-A6FC-40A9-A747-68EF801C7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61043"/>
          <a:ext cx="1000125" cy="1913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76200</xdr:rowOff>
    </xdr:from>
    <xdr:to>
      <xdr:col>3</xdr:col>
      <xdr:colOff>349250</xdr:colOff>
      <xdr:row>1</xdr:row>
      <xdr:rowOff>149988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B170B90-0088-41AD-B4FE-485C1546F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76200"/>
          <a:ext cx="1381125" cy="2642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433917</xdr:colOff>
      <xdr:row>0</xdr:row>
      <xdr:rowOff>92548</xdr:rowOff>
    </xdr:from>
    <xdr:to>
      <xdr:col>3</xdr:col>
      <xdr:colOff>74083</xdr:colOff>
      <xdr:row>1</xdr:row>
      <xdr:rowOff>102658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5F6ADA7-4EFE-8145-AE1C-C53251E3F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584" y="92548"/>
          <a:ext cx="1269999" cy="3096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2</xdr:col>
      <xdr:colOff>1028700</xdr:colOff>
      <xdr:row>2</xdr:row>
      <xdr:rowOff>123825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6675"/>
          <a:ext cx="2257425" cy="4381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2412</xdr:rowOff>
    </xdr:from>
    <xdr:to>
      <xdr:col>1</xdr:col>
      <xdr:colOff>1381125</xdr:colOff>
      <xdr:row>2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64D026-CC65-4B7E-9652-C77C932B4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2912"/>
          <a:ext cx="1381125" cy="264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K21"/>
  <sheetViews>
    <sheetView showGridLines="0" zoomScale="85" zoomScaleNormal="85" workbookViewId="0">
      <selection activeCell="I9" sqref="I9"/>
    </sheetView>
  </sheetViews>
  <sheetFormatPr defaultColWidth="9.1796875" defaultRowHeight="25" customHeight="1" x14ac:dyDescent="0.35"/>
  <cols>
    <col min="1" max="1" width="22" customWidth="1"/>
    <col min="2" max="2" width="9.1796875" customWidth="1"/>
    <col min="4" max="4" width="12.7265625" customWidth="1"/>
    <col min="7" max="7" width="11.1796875" customWidth="1"/>
    <col min="8" max="8" width="14.453125" customWidth="1"/>
    <col min="10" max="10" width="11" customWidth="1"/>
  </cols>
  <sheetData>
    <row r="1" spans="1:11" ht="25" customHeight="1" x14ac:dyDescent="0.45">
      <c r="C1" s="367" t="s">
        <v>148</v>
      </c>
      <c r="D1" s="367"/>
      <c r="E1" s="367"/>
      <c r="F1" s="367"/>
      <c r="G1" s="367"/>
    </row>
    <row r="2" spans="1:11" ht="25" customHeight="1" x14ac:dyDescent="0.35">
      <c r="B2" s="53"/>
      <c r="C2" s="368" t="s">
        <v>149</v>
      </c>
      <c r="D2" s="368"/>
      <c r="E2" s="368"/>
      <c r="F2" s="368"/>
      <c r="G2" s="368"/>
    </row>
    <row r="3" spans="1:11" ht="25" customHeight="1" x14ac:dyDescent="0.35">
      <c r="B3" s="54"/>
      <c r="C3" s="369" t="s">
        <v>150</v>
      </c>
      <c r="D3" s="369"/>
      <c r="E3" s="369"/>
      <c r="F3" s="369"/>
      <c r="G3" s="369"/>
    </row>
    <row r="4" spans="1:11" ht="25" customHeight="1" x14ac:dyDescent="0.35">
      <c r="B4" s="53"/>
      <c r="C4" s="370" t="s">
        <v>151</v>
      </c>
      <c r="D4" s="370"/>
      <c r="E4" s="370"/>
      <c r="F4" s="370"/>
      <c r="G4" s="370"/>
    </row>
    <row r="5" spans="1:11" ht="25" customHeight="1" x14ac:dyDescent="0.35">
      <c r="B5" s="54"/>
      <c r="C5" s="371" t="s">
        <v>153</v>
      </c>
      <c r="D5" s="371"/>
      <c r="E5" s="371"/>
      <c r="F5" s="371"/>
      <c r="G5" s="371"/>
    </row>
    <row r="6" spans="1:11" ht="25" customHeight="1" x14ac:dyDescent="0.35">
      <c r="B6" s="53"/>
      <c r="C6" s="365" t="s">
        <v>152</v>
      </c>
      <c r="D6" s="365"/>
      <c r="E6" s="365"/>
      <c r="F6" s="365"/>
      <c r="G6" s="365"/>
    </row>
    <row r="8" spans="1:11" ht="25" customHeight="1" x14ac:dyDescent="0.45">
      <c r="A8" s="366" t="s">
        <v>154</v>
      </c>
      <c r="B8" s="366"/>
      <c r="C8" s="366"/>
      <c r="D8" s="366"/>
      <c r="E8" s="366"/>
      <c r="F8" s="366"/>
      <c r="G8" s="366"/>
      <c r="H8" s="44"/>
      <c r="I8" s="44"/>
      <c r="J8" s="44"/>
      <c r="K8" s="44"/>
    </row>
    <row r="9" spans="1:11" ht="25" customHeight="1" x14ac:dyDescent="0.35">
      <c r="A9" s="1" t="s">
        <v>158</v>
      </c>
      <c r="B9" t="s">
        <v>175</v>
      </c>
    </row>
    <row r="10" spans="1:11" ht="25" customHeight="1" x14ac:dyDescent="0.35">
      <c r="A10" s="1" t="s">
        <v>155</v>
      </c>
      <c r="B10" t="s">
        <v>176</v>
      </c>
    </row>
    <row r="11" spans="1:11" ht="25" customHeight="1" x14ac:dyDescent="0.35">
      <c r="A11" s="1" t="s">
        <v>156</v>
      </c>
      <c r="B11" t="s">
        <v>166</v>
      </c>
    </row>
    <row r="12" spans="1:11" ht="25" customHeight="1" x14ac:dyDescent="0.35">
      <c r="A12" s="1" t="s">
        <v>157</v>
      </c>
      <c r="B12" t="s">
        <v>167</v>
      </c>
    </row>
    <row r="13" spans="1:11" ht="25" customHeight="1" x14ac:dyDescent="0.35">
      <c r="A13" s="1" t="s">
        <v>159</v>
      </c>
      <c r="B13" t="s">
        <v>168</v>
      </c>
    </row>
    <row r="14" spans="1:11" ht="25" customHeight="1" x14ac:dyDescent="0.35">
      <c r="A14" s="1" t="s">
        <v>160</v>
      </c>
      <c r="B14" t="s">
        <v>169</v>
      </c>
    </row>
    <row r="15" spans="1:11" ht="25" customHeight="1" x14ac:dyDescent="0.35">
      <c r="A15" s="1" t="s">
        <v>161</v>
      </c>
      <c r="B15" t="s">
        <v>168</v>
      </c>
    </row>
    <row r="16" spans="1:11" ht="25" customHeight="1" x14ac:dyDescent="0.35">
      <c r="A16" s="1" t="s">
        <v>162</v>
      </c>
      <c r="B16" t="s">
        <v>177</v>
      </c>
    </row>
    <row r="17" spans="1:2" ht="25" customHeight="1" x14ac:dyDescent="0.35">
      <c r="A17" s="1" t="s">
        <v>188</v>
      </c>
      <c r="B17" t="s">
        <v>172</v>
      </c>
    </row>
    <row r="18" spans="1:2" ht="25" customHeight="1" x14ac:dyDescent="0.35">
      <c r="A18" s="1" t="s">
        <v>163</v>
      </c>
      <c r="B18" t="s">
        <v>170</v>
      </c>
    </row>
    <row r="19" spans="1:2" ht="25" customHeight="1" x14ac:dyDescent="0.35">
      <c r="A19" s="1" t="s">
        <v>164</v>
      </c>
      <c r="B19" t="s">
        <v>171</v>
      </c>
    </row>
    <row r="20" spans="1:2" ht="25" customHeight="1" x14ac:dyDescent="0.35">
      <c r="A20" s="1" t="s">
        <v>165</v>
      </c>
      <c r="B20" t="s">
        <v>173</v>
      </c>
    </row>
    <row r="21" spans="1:2" ht="25" customHeight="1" x14ac:dyDescent="0.35">
      <c r="A21" s="1" t="s">
        <v>104</v>
      </c>
      <c r="B21" t="s">
        <v>174</v>
      </c>
    </row>
  </sheetData>
  <mergeCells count="7">
    <mergeCell ref="C6:G6"/>
    <mergeCell ref="A8:G8"/>
    <mergeCell ref="C1:G1"/>
    <mergeCell ref="C2:G2"/>
    <mergeCell ref="C3:G3"/>
    <mergeCell ref="C4:G4"/>
    <mergeCell ref="C5:G5"/>
  </mergeCells>
  <pageMargins left="0.511811024" right="0.511811024" top="0.78740157499999996" bottom="0.78740157499999996" header="0.31496062000000002" footer="0.31496062000000002"/>
  <pageSetup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B1:H31"/>
  <sheetViews>
    <sheetView showGridLines="0" workbookViewId="0">
      <selection activeCell="G17" sqref="G17"/>
    </sheetView>
  </sheetViews>
  <sheetFormatPr defaultRowHeight="14.5" x14ac:dyDescent="0.35"/>
  <cols>
    <col min="2" max="2" width="31.453125" style="2" customWidth="1"/>
    <col min="3" max="3" width="11.453125" style="3" customWidth="1"/>
    <col min="4" max="4" width="19.54296875" bestFit="1" customWidth="1"/>
    <col min="5" max="5" width="21.54296875" customWidth="1"/>
    <col min="6" max="6" width="12.7265625" customWidth="1"/>
    <col min="7" max="7" width="19.54296875" bestFit="1" customWidth="1"/>
  </cols>
  <sheetData>
    <row r="1" spans="2:8" x14ac:dyDescent="0.35">
      <c r="B1" s="400" t="s">
        <v>251</v>
      </c>
      <c r="C1" s="400"/>
      <c r="D1" s="400"/>
      <c r="E1" s="400"/>
      <c r="F1" s="400"/>
      <c r="G1" s="400"/>
      <c r="H1" s="400"/>
    </row>
    <row r="2" spans="2:8" x14ac:dyDescent="0.35">
      <c r="B2" s="400"/>
      <c r="C2" s="400"/>
      <c r="D2" s="400"/>
      <c r="E2" s="400"/>
      <c r="F2" s="400"/>
      <c r="G2" s="400"/>
      <c r="H2" s="400"/>
    </row>
    <row r="3" spans="2:8" x14ac:dyDescent="0.35">
      <c r="B3" s="400"/>
      <c r="C3" s="400"/>
      <c r="D3" s="400"/>
      <c r="E3" s="400"/>
      <c r="F3" s="400"/>
      <c r="G3" s="400"/>
      <c r="H3" s="400"/>
    </row>
    <row r="5" spans="2:8" s="4" customFormat="1" ht="28.5" customHeight="1" x14ac:dyDescent="0.35">
      <c r="C5" s="169" t="s">
        <v>19</v>
      </c>
      <c r="D5" s="169" t="s">
        <v>252</v>
      </c>
      <c r="E5"/>
      <c r="F5"/>
    </row>
    <row r="6" spans="2:8" ht="29" x14ac:dyDescent="0.35">
      <c r="B6" s="165" t="s">
        <v>216</v>
      </c>
      <c r="C6" s="100" t="s">
        <v>253</v>
      </c>
      <c r="D6" s="277">
        <v>1</v>
      </c>
      <c r="E6" s="234">
        <v>0.97920333693700001</v>
      </c>
    </row>
    <row r="7" spans="2:8" x14ac:dyDescent="0.35">
      <c r="B7" s="169" t="s">
        <v>92</v>
      </c>
      <c r="C7" s="100"/>
      <c r="D7" s="101">
        <v>1200000</v>
      </c>
    </row>
    <row r="8" spans="2:8" x14ac:dyDescent="0.35">
      <c r="B8" s="102" t="s">
        <v>90</v>
      </c>
      <c r="C8" s="100"/>
      <c r="D8" s="101">
        <f>D7/12</f>
        <v>100000</v>
      </c>
    </row>
    <row r="9" spans="2:8" x14ac:dyDescent="0.35">
      <c r="B9" s="169" t="s">
        <v>93</v>
      </c>
      <c r="C9" s="100"/>
      <c r="D9" s="101">
        <v>1600000</v>
      </c>
    </row>
    <row r="10" spans="2:8" x14ac:dyDescent="0.35">
      <c r="B10" s="102" t="s">
        <v>91</v>
      </c>
      <c r="C10" s="100"/>
      <c r="D10" s="101">
        <f>D9/12</f>
        <v>133333.33333333334</v>
      </c>
    </row>
    <row r="11" spans="2:8" x14ac:dyDescent="0.35">
      <c r="B11" s="169" t="s">
        <v>20</v>
      </c>
      <c r="C11" s="103">
        <v>42705</v>
      </c>
      <c r="D11" s="87">
        <v>0</v>
      </c>
    </row>
    <row r="12" spans="2:8" x14ac:dyDescent="0.35">
      <c r="B12" s="102" t="s">
        <v>21</v>
      </c>
      <c r="C12" s="100" t="s">
        <v>23</v>
      </c>
      <c r="D12" s="87">
        <f>D11/5</f>
        <v>0</v>
      </c>
    </row>
    <row r="13" spans="2:8" ht="29" x14ac:dyDescent="0.35">
      <c r="B13" s="102" t="s">
        <v>22</v>
      </c>
      <c r="C13" s="100" t="s">
        <v>31</v>
      </c>
      <c r="D13" s="87">
        <f>D12/12</f>
        <v>0</v>
      </c>
    </row>
    <row r="14" spans="2:8" hidden="1" x14ac:dyDescent="0.35">
      <c r="B14" s="169" t="s">
        <v>239</v>
      </c>
      <c r="C14" s="100"/>
      <c r="D14" s="76"/>
    </row>
    <row r="15" spans="2:8" hidden="1" x14ac:dyDescent="0.35">
      <c r="B15" s="102" t="s">
        <v>239</v>
      </c>
      <c r="C15" s="100" t="s">
        <v>89</v>
      </c>
      <c r="D15" s="76">
        <f>D14/2</f>
        <v>0</v>
      </c>
    </row>
    <row r="16" spans="2:8" hidden="1" x14ac:dyDescent="0.35">
      <c r="B16" s="102"/>
      <c r="C16" s="100" t="s">
        <v>35</v>
      </c>
      <c r="D16" s="76">
        <f>D15/12</f>
        <v>0</v>
      </c>
    </row>
    <row r="17" spans="2:7" ht="43.5" x14ac:dyDescent="0.35">
      <c r="B17" s="169" t="s">
        <v>213</v>
      </c>
      <c r="C17" s="100" t="s">
        <v>89</v>
      </c>
      <c r="D17" s="101">
        <v>35447.139300000126</v>
      </c>
    </row>
    <row r="18" spans="2:7" ht="29" x14ac:dyDescent="0.35">
      <c r="B18" s="102" t="s">
        <v>24</v>
      </c>
      <c r="C18" s="100" t="s">
        <v>31</v>
      </c>
      <c r="D18" s="76">
        <f>D17/12</f>
        <v>2953.9282750000107</v>
      </c>
    </row>
    <row r="19" spans="2:7" hidden="1" x14ac:dyDescent="0.35">
      <c r="B19" s="169" t="s">
        <v>210</v>
      </c>
      <c r="C19" s="100"/>
      <c r="D19" s="76"/>
    </row>
    <row r="20" spans="2:7" hidden="1" x14ac:dyDescent="0.35">
      <c r="B20" s="102" t="s">
        <v>210</v>
      </c>
      <c r="C20" s="100" t="s">
        <v>89</v>
      </c>
      <c r="D20" s="76">
        <f>D19/2</f>
        <v>0</v>
      </c>
    </row>
    <row r="21" spans="2:7" hidden="1" x14ac:dyDescent="0.35">
      <c r="B21" s="102" t="s">
        <v>210</v>
      </c>
      <c r="C21" s="100" t="s">
        <v>35</v>
      </c>
      <c r="D21" s="76">
        <f>D20/12</f>
        <v>0</v>
      </c>
    </row>
    <row r="22" spans="2:7" ht="29" hidden="1" x14ac:dyDescent="0.35">
      <c r="B22" s="102" t="s">
        <v>25</v>
      </c>
      <c r="C22" s="100" t="s">
        <v>27</v>
      </c>
      <c r="D22" s="233">
        <v>0</v>
      </c>
    </row>
    <row r="23" spans="2:7" ht="29" x14ac:dyDescent="0.35">
      <c r="B23" s="102" t="s">
        <v>26</v>
      </c>
      <c r="C23" s="100" t="s">
        <v>31</v>
      </c>
      <c r="D23" s="76">
        <v>0</v>
      </c>
    </row>
    <row r="24" spans="2:7" ht="43.5" x14ac:dyDescent="0.35">
      <c r="B24" s="169" t="s">
        <v>28</v>
      </c>
      <c r="C24" s="100" t="s">
        <v>29</v>
      </c>
      <c r="D24" s="104">
        <v>250730234.46000001</v>
      </c>
    </row>
    <row r="25" spans="2:7" ht="29" x14ac:dyDescent="0.35">
      <c r="B25" s="102" t="s">
        <v>30</v>
      </c>
      <c r="C25" s="100" t="s">
        <v>31</v>
      </c>
      <c r="D25" s="105">
        <f>D24/12</f>
        <v>20894186.205000002</v>
      </c>
    </row>
    <row r="26" spans="2:7" ht="15" customHeight="1" x14ac:dyDescent="0.35"/>
    <row r="27" spans="2:7" ht="15" customHeight="1" x14ac:dyDescent="0.35"/>
    <row r="28" spans="2:7" x14ac:dyDescent="0.35">
      <c r="B28" s="401" t="s">
        <v>187</v>
      </c>
      <c r="C28" s="402"/>
      <c r="D28" s="402"/>
      <c r="E28" s="402"/>
      <c r="F28" s="402"/>
      <c r="G28" s="402"/>
    </row>
    <row r="29" spans="2:7" ht="14.25" customHeight="1" x14ac:dyDescent="0.35">
      <c r="B29" s="398" t="s">
        <v>182</v>
      </c>
      <c r="C29" s="399"/>
      <c r="D29" s="399"/>
      <c r="E29" s="399"/>
      <c r="F29" s="399"/>
      <c r="G29" s="399"/>
    </row>
    <row r="31" spans="2:7" x14ac:dyDescent="0.35">
      <c r="B31" s="317"/>
    </row>
  </sheetData>
  <mergeCells count="3">
    <mergeCell ref="B29:G29"/>
    <mergeCell ref="B1:H3"/>
    <mergeCell ref="B28:G2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B1:N71"/>
  <sheetViews>
    <sheetView showGridLines="0" topLeftCell="A7" workbookViewId="0">
      <selection activeCell="F68" sqref="F68"/>
    </sheetView>
  </sheetViews>
  <sheetFormatPr defaultRowHeight="14.5" outlineLevelRow="1" x14ac:dyDescent="0.35"/>
  <cols>
    <col min="1" max="1" width="3.81640625" customWidth="1"/>
    <col min="3" max="3" width="10.7265625" style="7" customWidth="1"/>
    <col min="4" max="4" width="18.81640625" style="30" customWidth="1"/>
    <col min="5" max="5" width="11" style="31" customWidth="1"/>
    <col min="6" max="6" width="14.453125" style="28" customWidth="1"/>
    <col min="7" max="7" width="11.453125" style="28" customWidth="1"/>
  </cols>
  <sheetData>
    <row r="1" spans="2:14" ht="15" customHeight="1" x14ac:dyDescent="0.35">
      <c r="B1" s="377" t="s">
        <v>315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56"/>
      <c r="N1" s="56"/>
    </row>
    <row r="2" spans="2:14" ht="15" customHeight="1" x14ac:dyDescent="0.35"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56"/>
      <c r="N2" s="56"/>
    </row>
    <row r="3" spans="2:14" ht="18.75" customHeight="1" x14ac:dyDescent="0.35"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56"/>
      <c r="N3" s="56"/>
    </row>
    <row r="4" spans="2:14" ht="18.75" customHeight="1" x14ac:dyDescent="0.35">
      <c r="B4" s="61"/>
      <c r="C4" s="404" t="s">
        <v>189</v>
      </c>
      <c r="D4" s="404"/>
      <c r="E4" s="404"/>
      <c r="F4" s="404"/>
      <c r="G4" s="404"/>
      <c r="H4" s="404"/>
      <c r="I4" s="404"/>
      <c r="J4" s="404"/>
      <c r="K4" s="404"/>
      <c r="L4" s="404"/>
      <c r="M4" s="56"/>
      <c r="N4" s="56"/>
    </row>
    <row r="5" spans="2:14" ht="18.75" customHeight="1" x14ac:dyDescent="0.35">
      <c r="B5" s="61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56"/>
      <c r="N5" s="56"/>
    </row>
    <row r="6" spans="2:14" ht="18.75" customHeight="1" x14ac:dyDescent="0.35">
      <c r="B6" s="61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56"/>
      <c r="N6" s="56"/>
    </row>
    <row r="7" spans="2:14" s="3" customFormat="1" x14ac:dyDescent="0.35">
      <c r="C7" s="57"/>
      <c r="D7" s="58"/>
      <c r="E7" s="59"/>
      <c r="F7" s="60"/>
      <c r="G7" s="60"/>
    </row>
    <row r="8" spans="2:14" s="3" customFormat="1" ht="43.5" x14ac:dyDescent="0.35">
      <c r="C8" s="169" t="s">
        <v>76</v>
      </c>
      <c r="D8" s="72" t="s">
        <v>184</v>
      </c>
      <c r="E8" s="72" t="s">
        <v>185</v>
      </c>
      <c r="F8" s="93" t="s">
        <v>186</v>
      </c>
    </row>
    <row r="9" spans="2:14" hidden="1" outlineLevel="1" x14ac:dyDescent="0.35">
      <c r="B9" s="403">
        <v>2018</v>
      </c>
      <c r="C9" s="94">
        <v>43131</v>
      </c>
      <c r="D9" s="95">
        <v>91200</v>
      </c>
      <c r="E9" s="96">
        <v>127354.1</v>
      </c>
      <c r="F9" s="97">
        <f>D9-E9</f>
        <v>-36154.100000000006</v>
      </c>
      <c r="G9"/>
    </row>
    <row r="10" spans="2:14" hidden="1" outlineLevel="1" x14ac:dyDescent="0.35">
      <c r="B10" s="403"/>
      <c r="C10" s="94">
        <v>43159</v>
      </c>
      <c r="D10" s="95">
        <v>91200</v>
      </c>
      <c r="E10" s="96">
        <v>133666</v>
      </c>
      <c r="F10" s="97">
        <f t="shared" ref="F10:F19" si="0">F9+D10-E10</f>
        <v>-78620.100000000006</v>
      </c>
      <c r="G10"/>
    </row>
    <row r="11" spans="2:14" hidden="1" outlineLevel="1" x14ac:dyDescent="0.35">
      <c r="B11" s="403"/>
      <c r="C11" s="94">
        <v>43190</v>
      </c>
      <c r="D11" s="95">
        <v>91200</v>
      </c>
      <c r="E11" s="96">
        <v>129109</v>
      </c>
      <c r="F11" s="97">
        <f t="shared" si="0"/>
        <v>-116529.1</v>
      </c>
      <c r="G11"/>
    </row>
    <row r="12" spans="2:14" hidden="1" outlineLevel="1" x14ac:dyDescent="0.35">
      <c r="B12" s="403"/>
      <c r="C12" s="94">
        <v>43220</v>
      </c>
      <c r="D12" s="95">
        <v>91200</v>
      </c>
      <c r="E12" s="96">
        <v>106028</v>
      </c>
      <c r="F12" s="97">
        <f t="shared" si="0"/>
        <v>-131357.1</v>
      </c>
      <c r="G12"/>
    </row>
    <row r="13" spans="2:14" hidden="1" outlineLevel="1" x14ac:dyDescent="0.35">
      <c r="B13" s="403"/>
      <c r="C13" s="94">
        <v>43251</v>
      </c>
      <c r="D13" s="95">
        <v>91200</v>
      </c>
      <c r="E13" s="96">
        <v>116238</v>
      </c>
      <c r="F13" s="97">
        <f t="shared" si="0"/>
        <v>-156395.1</v>
      </c>
      <c r="G13"/>
    </row>
    <row r="14" spans="2:14" hidden="1" outlineLevel="1" x14ac:dyDescent="0.35">
      <c r="B14" s="403"/>
      <c r="C14" s="94">
        <v>43281</v>
      </c>
      <c r="D14" s="95">
        <v>91200</v>
      </c>
      <c r="E14" s="96">
        <v>104799</v>
      </c>
      <c r="F14" s="97">
        <f t="shared" si="0"/>
        <v>-169994.1</v>
      </c>
      <c r="G14"/>
    </row>
    <row r="15" spans="2:14" hidden="1" outlineLevel="1" x14ac:dyDescent="0.35">
      <c r="B15" s="403"/>
      <c r="C15" s="94">
        <v>43312</v>
      </c>
      <c r="D15" s="95">
        <v>91200</v>
      </c>
      <c r="E15" s="96">
        <v>107830</v>
      </c>
      <c r="F15" s="97">
        <f t="shared" si="0"/>
        <v>-186624.1</v>
      </c>
      <c r="G15"/>
    </row>
    <row r="16" spans="2:14" hidden="1" outlineLevel="1" x14ac:dyDescent="0.35">
      <c r="B16" s="403"/>
      <c r="C16" s="94">
        <v>43343</v>
      </c>
      <c r="D16" s="95">
        <v>91200</v>
      </c>
      <c r="E16" s="96">
        <v>132856</v>
      </c>
      <c r="F16" s="97">
        <f t="shared" si="0"/>
        <v>-228280.1</v>
      </c>
      <c r="G16"/>
    </row>
    <row r="17" spans="2:7" hidden="1" outlineLevel="1" x14ac:dyDescent="0.35">
      <c r="B17" s="403"/>
      <c r="C17" s="94">
        <v>43373</v>
      </c>
      <c r="D17" s="95">
        <v>91200</v>
      </c>
      <c r="E17" s="96">
        <v>108273</v>
      </c>
      <c r="F17" s="97">
        <f t="shared" si="0"/>
        <v>-245353.1</v>
      </c>
      <c r="G17"/>
    </row>
    <row r="18" spans="2:7" hidden="1" outlineLevel="1" x14ac:dyDescent="0.35">
      <c r="B18" s="403"/>
      <c r="C18" s="94">
        <v>43404</v>
      </c>
      <c r="D18" s="95">
        <v>91200</v>
      </c>
      <c r="E18" s="96">
        <v>122587</v>
      </c>
      <c r="F18" s="97">
        <f t="shared" si="0"/>
        <v>-276740.09999999998</v>
      </c>
      <c r="G18"/>
    </row>
    <row r="19" spans="2:7" hidden="1" outlineLevel="1" x14ac:dyDescent="0.35">
      <c r="B19" s="403"/>
      <c r="C19" s="94">
        <v>43434</v>
      </c>
      <c r="D19" s="95">
        <v>91200</v>
      </c>
      <c r="E19" s="96">
        <v>121345</v>
      </c>
      <c r="F19" s="97">
        <f t="shared" si="0"/>
        <v>-306885.09999999998</v>
      </c>
      <c r="G19"/>
    </row>
    <row r="20" spans="2:7" hidden="1" outlineLevel="1" x14ac:dyDescent="0.35">
      <c r="B20" s="403"/>
      <c r="C20" s="94">
        <v>43465</v>
      </c>
      <c r="D20" s="95">
        <v>91200</v>
      </c>
      <c r="E20" s="96">
        <v>47451</v>
      </c>
      <c r="F20" s="98">
        <f>IF(F19+D20-E20&lt;0,0,F19+D20-E20)</f>
        <v>0</v>
      </c>
      <c r="G20"/>
    </row>
    <row r="21" spans="2:7" hidden="1" outlineLevel="1" x14ac:dyDescent="0.35">
      <c r="B21" s="403">
        <v>2019</v>
      </c>
      <c r="C21" s="94">
        <v>43496</v>
      </c>
      <c r="D21" s="95">
        <v>100000</v>
      </c>
      <c r="E21" s="96">
        <v>0</v>
      </c>
      <c r="F21" s="97">
        <f>D21-E21</f>
        <v>100000</v>
      </c>
      <c r="G21"/>
    </row>
    <row r="22" spans="2:7" hidden="1" outlineLevel="1" x14ac:dyDescent="0.35">
      <c r="B22" s="403"/>
      <c r="C22" s="94">
        <v>43524</v>
      </c>
      <c r="D22" s="95">
        <v>100000</v>
      </c>
      <c r="E22" s="96">
        <v>0</v>
      </c>
      <c r="F22" s="97">
        <f t="shared" ref="F22:F31" si="1">F21+D22-E22</f>
        <v>200000</v>
      </c>
      <c r="G22"/>
    </row>
    <row r="23" spans="2:7" hidden="1" outlineLevel="1" x14ac:dyDescent="0.35">
      <c r="B23" s="403"/>
      <c r="C23" s="94">
        <v>43555</v>
      </c>
      <c r="D23" s="95">
        <v>100000</v>
      </c>
      <c r="E23" s="96">
        <v>1624</v>
      </c>
      <c r="F23" s="97">
        <f t="shared" si="1"/>
        <v>298376</v>
      </c>
      <c r="G23"/>
    </row>
    <row r="24" spans="2:7" hidden="1" outlineLevel="1" x14ac:dyDescent="0.35">
      <c r="B24" s="403"/>
      <c r="C24" s="94">
        <v>43585</v>
      </c>
      <c r="D24" s="95">
        <v>100000</v>
      </c>
      <c r="E24" s="96">
        <v>112473</v>
      </c>
      <c r="F24" s="97">
        <f t="shared" si="1"/>
        <v>285903</v>
      </c>
      <c r="G24"/>
    </row>
    <row r="25" spans="2:7" hidden="1" outlineLevel="1" x14ac:dyDescent="0.35">
      <c r="B25" s="403"/>
      <c r="C25" s="94">
        <v>43616</v>
      </c>
      <c r="D25" s="95">
        <v>100000</v>
      </c>
      <c r="E25" s="96">
        <v>169527.43999999994</v>
      </c>
      <c r="F25" s="97">
        <f t="shared" si="1"/>
        <v>216375.56000000006</v>
      </c>
      <c r="G25"/>
    </row>
    <row r="26" spans="2:7" hidden="1" outlineLevel="1" x14ac:dyDescent="0.35">
      <c r="B26" s="403"/>
      <c r="C26" s="94">
        <v>43646</v>
      </c>
      <c r="D26" s="95">
        <v>100000</v>
      </c>
      <c r="E26" s="96">
        <v>178726</v>
      </c>
      <c r="F26" s="97">
        <f t="shared" si="1"/>
        <v>137649.56000000006</v>
      </c>
      <c r="G26"/>
    </row>
    <row r="27" spans="2:7" hidden="1" outlineLevel="1" x14ac:dyDescent="0.35">
      <c r="B27" s="403"/>
      <c r="C27" s="94">
        <v>43677</v>
      </c>
      <c r="D27" s="95">
        <v>100000</v>
      </c>
      <c r="E27" s="96">
        <v>154606</v>
      </c>
      <c r="F27" s="97">
        <f t="shared" si="1"/>
        <v>83043.560000000056</v>
      </c>
      <c r="G27"/>
    </row>
    <row r="28" spans="2:7" hidden="1" outlineLevel="1" x14ac:dyDescent="0.35">
      <c r="B28" s="403"/>
      <c r="C28" s="94">
        <v>43708</v>
      </c>
      <c r="D28" s="95">
        <v>100000</v>
      </c>
      <c r="E28" s="96">
        <v>174506</v>
      </c>
      <c r="F28" s="97">
        <f t="shared" si="1"/>
        <v>8537.5600000000559</v>
      </c>
      <c r="G28"/>
    </row>
    <row r="29" spans="2:7" hidden="1" outlineLevel="1" x14ac:dyDescent="0.35">
      <c r="B29" s="403"/>
      <c r="C29" s="94">
        <v>43738</v>
      </c>
      <c r="D29" s="95">
        <v>100000</v>
      </c>
      <c r="E29" s="96">
        <v>171100</v>
      </c>
      <c r="F29" s="97">
        <f t="shared" si="1"/>
        <v>-62562.439999999944</v>
      </c>
      <c r="G29"/>
    </row>
    <row r="30" spans="2:7" hidden="1" outlineLevel="1" x14ac:dyDescent="0.35">
      <c r="B30" s="403"/>
      <c r="C30" s="94">
        <v>43769</v>
      </c>
      <c r="D30" s="95">
        <v>100000</v>
      </c>
      <c r="E30" s="96">
        <v>133619</v>
      </c>
      <c r="F30" s="97">
        <f t="shared" si="1"/>
        <v>-96181.439999999944</v>
      </c>
      <c r="G30"/>
    </row>
    <row r="31" spans="2:7" hidden="1" outlineLevel="1" x14ac:dyDescent="0.35">
      <c r="B31" s="403"/>
      <c r="C31" s="94">
        <v>43799</v>
      </c>
      <c r="D31" s="95">
        <v>100000</v>
      </c>
      <c r="E31" s="96">
        <v>173125</v>
      </c>
      <c r="F31" s="97">
        <f t="shared" si="1"/>
        <v>-169306.43999999994</v>
      </c>
      <c r="G31"/>
    </row>
    <row r="32" spans="2:7" hidden="1" outlineLevel="1" x14ac:dyDescent="0.35">
      <c r="B32" s="403"/>
      <c r="C32" s="94">
        <v>43830</v>
      </c>
      <c r="D32" s="95">
        <v>100000</v>
      </c>
      <c r="E32" s="96">
        <v>202947</v>
      </c>
      <c r="F32" s="98">
        <f>IF(F31+D32-E32&lt;0,0,F31+D32-E32)</f>
        <v>0</v>
      </c>
      <c r="G32"/>
    </row>
    <row r="33" spans="2:12" hidden="1" outlineLevel="1" x14ac:dyDescent="0.35">
      <c r="B33" s="403">
        <v>2020</v>
      </c>
      <c r="C33" s="94">
        <v>43861</v>
      </c>
      <c r="D33" s="95">
        <v>99700</v>
      </c>
      <c r="E33" s="96">
        <v>178232</v>
      </c>
      <c r="F33" s="97">
        <f>D33-E33</f>
        <v>-78532</v>
      </c>
      <c r="G33"/>
    </row>
    <row r="34" spans="2:12" hidden="1" outlineLevel="1" x14ac:dyDescent="0.35">
      <c r="B34" s="403"/>
      <c r="C34" s="94">
        <v>43890</v>
      </c>
      <c r="D34" s="95">
        <v>99700</v>
      </c>
      <c r="E34" s="96">
        <v>175035</v>
      </c>
      <c r="F34" s="97">
        <f>F33+D34-E34</f>
        <v>-153867</v>
      </c>
      <c r="G34"/>
    </row>
    <row r="35" spans="2:12" hidden="1" outlineLevel="1" x14ac:dyDescent="0.35">
      <c r="B35" s="403"/>
      <c r="C35" s="94">
        <v>43921</v>
      </c>
      <c r="D35" s="95">
        <v>100530.83001000001</v>
      </c>
      <c r="E35" s="96">
        <v>166525</v>
      </c>
      <c r="F35" s="97">
        <f>F34+D35-E35</f>
        <v>-219861.16998999999</v>
      </c>
      <c r="G35"/>
    </row>
    <row r="36" spans="2:12" hidden="1" outlineLevel="1" x14ac:dyDescent="0.35">
      <c r="B36" s="403"/>
      <c r="C36" s="94">
        <v>43951</v>
      </c>
      <c r="D36" s="95">
        <v>100530.83001000001</v>
      </c>
      <c r="E36" s="96">
        <v>18366</v>
      </c>
      <c r="F36" s="97">
        <f>F35+D36-E36</f>
        <v>-137696.33997999999</v>
      </c>
      <c r="G36"/>
    </row>
    <row r="37" spans="2:12" hidden="1" outlineLevel="1" x14ac:dyDescent="0.35">
      <c r="B37" s="403"/>
      <c r="C37" s="94">
        <v>43982</v>
      </c>
      <c r="D37" s="95">
        <v>100530.83001000001</v>
      </c>
      <c r="E37" s="96">
        <v>155615</v>
      </c>
      <c r="F37" s="97">
        <f t="shared" ref="F37:F43" si="2">F36+D37-E37</f>
        <v>-192780.50996999998</v>
      </c>
      <c r="G37"/>
    </row>
    <row r="38" spans="2:12" hidden="1" outlineLevel="1" x14ac:dyDescent="0.35">
      <c r="B38" s="403"/>
      <c r="C38" s="94">
        <v>44012</v>
      </c>
      <c r="D38" s="95">
        <v>100530.83001000001</v>
      </c>
      <c r="E38" s="96">
        <v>167504.704</v>
      </c>
      <c r="F38" s="97">
        <f t="shared" si="2"/>
        <v>-259754.38395999998</v>
      </c>
      <c r="G38"/>
    </row>
    <row r="39" spans="2:12" hidden="1" outlineLevel="1" x14ac:dyDescent="0.35">
      <c r="B39" s="403"/>
      <c r="C39" s="94">
        <v>44043</v>
      </c>
      <c r="D39" s="95">
        <v>100530.83001000001</v>
      </c>
      <c r="E39" s="96">
        <v>0</v>
      </c>
      <c r="F39" s="97">
        <f t="shared" si="2"/>
        <v>-159223.55394999997</v>
      </c>
      <c r="G39"/>
    </row>
    <row r="40" spans="2:12" hidden="1" outlineLevel="1" x14ac:dyDescent="0.35">
      <c r="B40" s="403"/>
      <c r="C40" s="94">
        <v>44074</v>
      </c>
      <c r="D40" s="95">
        <v>100530.83001000001</v>
      </c>
      <c r="E40" s="96">
        <v>0</v>
      </c>
      <c r="F40" s="97">
        <f t="shared" si="2"/>
        <v>-58692.723939999967</v>
      </c>
      <c r="G40"/>
    </row>
    <row r="41" spans="2:12" hidden="1" outlineLevel="1" x14ac:dyDescent="0.35">
      <c r="B41" s="403"/>
      <c r="C41" s="94">
        <v>44104</v>
      </c>
      <c r="D41" s="95">
        <v>100530.83001000001</v>
      </c>
      <c r="E41" s="96">
        <v>0</v>
      </c>
      <c r="F41" s="97">
        <f t="shared" si="2"/>
        <v>41838.106070000038</v>
      </c>
      <c r="G41"/>
    </row>
    <row r="42" spans="2:12" hidden="1" outlineLevel="1" x14ac:dyDescent="0.35">
      <c r="B42" s="403"/>
      <c r="C42" s="94">
        <v>44135</v>
      </c>
      <c r="D42" s="95">
        <v>100530.83001000001</v>
      </c>
      <c r="E42" s="96">
        <v>0</v>
      </c>
      <c r="F42" s="97">
        <f t="shared" si="2"/>
        <v>142368.93608000004</v>
      </c>
      <c r="G42"/>
    </row>
    <row r="43" spans="2:12" hidden="1" outlineLevel="1" x14ac:dyDescent="0.35">
      <c r="B43" s="403"/>
      <c r="C43" s="94">
        <v>44165</v>
      </c>
      <c r="D43" s="95">
        <v>100530.83001000001</v>
      </c>
      <c r="E43" s="96">
        <v>33574</v>
      </c>
      <c r="F43" s="97">
        <f t="shared" si="2"/>
        <v>209325.76609000005</v>
      </c>
      <c r="G43"/>
    </row>
    <row r="44" spans="2:12" hidden="1" outlineLevel="1" x14ac:dyDescent="0.35">
      <c r="B44" s="403"/>
      <c r="C44" s="94">
        <v>44196</v>
      </c>
      <c r="D44" s="95">
        <v>100530.83001000001</v>
      </c>
      <c r="E44" s="96">
        <v>186056.44899999999</v>
      </c>
      <c r="F44" s="98">
        <f>IF(F43+D44-E44&lt;0,0,F43+D44-E44)</f>
        <v>123800.14710000009</v>
      </c>
      <c r="G44"/>
    </row>
    <row r="45" spans="2:12" ht="15.75" hidden="1" customHeight="1" outlineLevel="1" x14ac:dyDescent="0.35">
      <c r="B45" s="403">
        <v>2021</v>
      </c>
      <c r="C45" s="94">
        <v>44227</v>
      </c>
      <c r="D45" s="95">
        <v>100077.080025</v>
      </c>
      <c r="E45" s="96">
        <v>150397.39000000001</v>
      </c>
      <c r="F45" s="97">
        <f>D45-E45</f>
        <v>-50320.309975000011</v>
      </c>
    </row>
    <row r="46" spans="2:12" ht="15" hidden="1" customHeight="1" outlineLevel="1" x14ac:dyDescent="0.35">
      <c r="B46" s="403"/>
      <c r="C46" s="94">
        <v>44255</v>
      </c>
      <c r="D46" s="95">
        <v>100077.080025</v>
      </c>
      <c r="E46" s="96">
        <v>182788.41</v>
      </c>
      <c r="F46" s="97">
        <f>F45+D46-E46</f>
        <v>-133031.63995000001</v>
      </c>
      <c r="G46" s="64"/>
      <c r="H46" s="64"/>
      <c r="I46" s="64"/>
      <c r="J46" s="64"/>
      <c r="K46" s="64"/>
      <c r="L46" s="64"/>
    </row>
    <row r="47" spans="2:12" hidden="1" outlineLevel="1" x14ac:dyDescent="0.35">
      <c r="B47" s="403"/>
      <c r="C47" s="94">
        <v>44286</v>
      </c>
      <c r="D47" s="95">
        <v>99250</v>
      </c>
      <c r="E47" s="96">
        <v>167069.60999999999</v>
      </c>
      <c r="F47" s="97">
        <f>F46+D47-E47</f>
        <v>-200851.24995</v>
      </c>
      <c r="G47" s="64"/>
      <c r="H47" s="64"/>
      <c r="I47" s="64"/>
      <c r="J47" s="64"/>
      <c r="K47" s="64"/>
      <c r="L47" s="64"/>
    </row>
    <row r="48" spans="2:12" hidden="1" outlineLevel="1" x14ac:dyDescent="0.35">
      <c r="B48" s="403"/>
      <c r="C48" s="94">
        <v>44316</v>
      </c>
      <c r="D48" s="95">
        <v>99250</v>
      </c>
      <c r="E48" s="96">
        <v>200179.22</v>
      </c>
      <c r="F48" s="97">
        <f>F47+D48-E48</f>
        <v>-301780.46995</v>
      </c>
      <c r="G48" s="64"/>
      <c r="H48" s="64"/>
      <c r="I48" s="64"/>
      <c r="J48" s="64"/>
      <c r="K48" s="64"/>
      <c r="L48" s="64"/>
    </row>
    <row r="49" spans="2:6" hidden="1" outlineLevel="1" x14ac:dyDescent="0.35">
      <c r="B49" s="403"/>
      <c r="C49" s="94">
        <v>44347</v>
      </c>
      <c r="D49" s="95">
        <v>100077.080025</v>
      </c>
      <c r="E49" s="96">
        <v>202979.99</v>
      </c>
      <c r="F49" s="97">
        <f t="shared" ref="F49:F55" si="3">F48+D49-E49</f>
        <v>-404683.37992500002</v>
      </c>
    </row>
    <row r="50" spans="2:6" hidden="1" outlineLevel="1" x14ac:dyDescent="0.35">
      <c r="B50" s="403"/>
      <c r="C50" s="94">
        <v>44377</v>
      </c>
      <c r="D50" s="95">
        <v>100077.080025</v>
      </c>
      <c r="E50" s="96">
        <v>196971.53</v>
      </c>
      <c r="F50" s="97">
        <f t="shared" si="3"/>
        <v>-501577.82990000001</v>
      </c>
    </row>
    <row r="51" spans="2:6" hidden="1" outlineLevel="1" x14ac:dyDescent="0.35">
      <c r="B51" s="403"/>
      <c r="C51" s="94">
        <v>44408</v>
      </c>
      <c r="D51" s="95">
        <v>100077.080025</v>
      </c>
      <c r="E51" s="96">
        <v>139873.43</v>
      </c>
      <c r="F51" s="97">
        <f t="shared" si="3"/>
        <v>-541374.17987499991</v>
      </c>
    </row>
    <row r="52" spans="2:6" hidden="1" outlineLevel="1" x14ac:dyDescent="0.35">
      <c r="B52" s="403"/>
      <c r="C52" s="94">
        <v>44439</v>
      </c>
      <c r="D52" s="95">
        <v>99250</v>
      </c>
      <c r="E52" s="96">
        <v>200360.12</v>
      </c>
      <c r="F52" s="97">
        <f t="shared" si="3"/>
        <v>-642484.29987499991</v>
      </c>
    </row>
    <row r="53" spans="2:6" hidden="1" outlineLevel="1" x14ac:dyDescent="0.35">
      <c r="B53" s="403"/>
      <c r="C53" s="94">
        <v>44469</v>
      </c>
      <c r="D53" s="95">
        <v>99250</v>
      </c>
      <c r="E53" s="96">
        <v>171684.78</v>
      </c>
      <c r="F53" s="97">
        <f t="shared" si="3"/>
        <v>-714919.07987499994</v>
      </c>
    </row>
    <row r="54" spans="2:6" hidden="1" outlineLevel="1" x14ac:dyDescent="0.35">
      <c r="B54" s="403"/>
      <c r="C54" s="94">
        <v>44500</v>
      </c>
      <c r="D54" s="95">
        <v>99250</v>
      </c>
      <c r="E54" s="96">
        <v>159420.76</v>
      </c>
      <c r="F54" s="97">
        <f t="shared" si="3"/>
        <v>-775089.83987499995</v>
      </c>
    </row>
    <row r="55" spans="2:6" hidden="1" outlineLevel="1" x14ac:dyDescent="0.35">
      <c r="B55" s="403"/>
      <c r="C55" s="94">
        <v>44530</v>
      </c>
      <c r="D55" s="95">
        <v>99250</v>
      </c>
      <c r="E55" s="96">
        <v>165907.845</v>
      </c>
      <c r="F55" s="97">
        <f t="shared" si="3"/>
        <v>-841747.68487499992</v>
      </c>
    </row>
    <row r="56" spans="2:6" hidden="1" outlineLevel="1" x14ac:dyDescent="0.35">
      <c r="B56" s="403"/>
      <c r="C56" s="94">
        <v>44561</v>
      </c>
      <c r="D56" s="95">
        <v>99250</v>
      </c>
      <c r="E56" s="96">
        <v>193635.671</v>
      </c>
      <c r="F56" s="98">
        <f>IF(F55+D56-E56&lt;0,0,F55+D56-E56)</f>
        <v>0</v>
      </c>
    </row>
    <row r="57" spans="2:6" collapsed="1" x14ac:dyDescent="0.35">
      <c r="B57" s="403">
        <v>2025</v>
      </c>
      <c r="C57" s="75">
        <v>45658</v>
      </c>
      <c r="D57" s="95">
        <f>'Carvão &amp; Total'!C6*'Carvão &amp; Total'!D6</f>
        <v>100000</v>
      </c>
      <c r="E57" s="96">
        <f>VLOOKUP(C57,SCD!$B$6:$H$65,3,0)</f>
        <v>486</v>
      </c>
      <c r="F57" s="97">
        <f>D57-E57</f>
        <v>99514</v>
      </c>
    </row>
    <row r="58" spans="2:6" x14ac:dyDescent="0.35">
      <c r="B58" s="403"/>
      <c r="C58" s="75">
        <v>45689</v>
      </c>
      <c r="D58" s="95">
        <f>'Carvão &amp; Total'!C7*'Carvão &amp; Total'!D7</f>
        <v>100000</v>
      </c>
      <c r="E58" s="96">
        <f>VLOOKUP(C58,SCD!$B$6:$H$65,3,0)</f>
        <v>0</v>
      </c>
      <c r="F58" s="97">
        <f>F57+D58-E58</f>
        <v>199514</v>
      </c>
    </row>
    <row r="59" spans="2:6" x14ac:dyDescent="0.35">
      <c r="B59" s="403"/>
      <c r="C59" s="75">
        <v>45717</v>
      </c>
      <c r="D59" s="95">
        <f>'Carvão &amp; Total'!C8*'Carvão &amp; Total'!D8</f>
        <v>100000</v>
      </c>
      <c r="E59" s="96">
        <f>VLOOKUP(C59,SCD!$B$6:$H$65,3,0)</f>
        <v>0</v>
      </c>
      <c r="F59" s="97">
        <f t="shared" ref="F59:F68" si="4">F58+D59-E59</f>
        <v>299514</v>
      </c>
    </row>
    <row r="60" spans="2:6" x14ac:dyDescent="0.35">
      <c r="B60" s="403"/>
      <c r="C60" s="75">
        <v>45748</v>
      </c>
      <c r="D60" s="95">
        <f>'Carvão &amp; Total'!C9*'Carvão &amp; Total'!D9</f>
        <v>100000</v>
      </c>
      <c r="E60" s="96">
        <f>VLOOKUP(C60,SCD!$B$6:$H$65,3,0)</f>
        <v>118266.14</v>
      </c>
      <c r="F60" s="97">
        <f t="shared" si="4"/>
        <v>281247.86</v>
      </c>
    </row>
    <row r="61" spans="2:6" x14ac:dyDescent="0.35">
      <c r="B61" s="403"/>
      <c r="C61" s="75">
        <v>45778</v>
      </c>
      <c r="D61" s="95">
        <f>'Carvão &amp; Total'!C10*'Carvão &amp; Total'!D10</f>
        <v>100000</v>
      </c>
      <c r="E61" s="96">
        <f>VLOOKUP(C61,SCD!$B$6:$H$65,3,0)</f>
        <v>211318.51500000001</v>
      </c>
      <c r="F61" s="97">
        <f t="shared" si="4"/>
        <v>169929.34499999997</v>
      </c>
    </row>
    <row r="62" spans="2:6" x14ac:dyDescent="0.35">
      <c r="B62" s="403"/>
      <c r="C62" s="75">
        <v>45809</v>
      </c>
      <c r="D62" s="95">
        <f>'Carvão &amp; Total'!C11*'Carvão &amp; Total'!D11</f>
        <v>100000</v>
      </c>
      <c r="E62" s="96">
        <f>VLOOKUP(C62,SCD!$B$6:$H$65,3,0)</f>
        <v>203219.95800000001</v>
      </c>
      <c r="F62" s="97">
        <f t="shared" si="4"/>
        <v>66709.386999999959</v>
      </c>
    </row>
    <row r="63" spans="2:6" x14ac:dyDescent="0.35">
      <c r="B63" s="403"/>
      <c r="C63" s="75">
        <v>45839</v>
      </c>
      <c r="D63" s="95">
        <f>'Carvão &amp; Total'!C12*'Carvão &amp; Total'!D12</f>
        <v>100000</v>
      </c>
      <c r="E63" s="96">
        <f>VLOOKUP(C63,SCD!$B$6:$H$65,3,0)</f>
        <v>151561.35500000001</v>
      </c>
      <c r="F63" s="97">
        <f t="shared" si="4"/>
        <v>15148.031999999948</v>
      </c>
    </row>
    <row r="64" spans="2:6" x14ac:dyDescent="0.35">
      <c r="B64" s="403"/>
      <c r="C64" s="75">
        <v>45870</v>
      </c>
      <c r="D64" s="95">
        <f>'Carvão &amp; Total'!C13*'Carvão &amp; Total'!D13</f>
        <v>100000</v>
      </c>
      <c r="E64" s="96">
        <f>VLOOKUP(C64,SCD!$B$6:$H$65,3,0)</f>
        <v>147695.37400000001</v>
      </c>
      <c r="F64" s="97">
        <f t="shared" si="4"/>
        <v>-32547.342000000062</v>
      </c>
    </row>
    <row r="65" spans="2:6" x14ac:dyDescent="0.35">
      <c r="B65" s="403"/>
      <c r="C65" s="75">
        <v>45901</v>
      </c>
      <c r="D65" s="95">
        <f>'Carvão &amp; Total'!C14*'Carvão &amp; Total'!D14</f>
        <v>100000</v>
      </c>
      <c r="E65" s="96">
        <f>VLOOKUP(C65,SCD!$B$6:$H$65,3,0)</f>
        <v>154541</v>
      </c>
      <c r="F65" s="97">
        <f t="shared" si="4"/>
        <v>-87088.342000000062</v>
      </c>
    </row>
    <row r="66" spans="2:6" x14ac:dyDescent="0.35">
      <c r="B66" s="403"/>
      <c r="C66" s="75">
        <v>45931</v>
      </c>
      <c r="D66" s="95">
        <f>'Carvão &amp; Total'!C15*'Carvão &amp; Total'!D15</f>
        <v>100000</v>
      </c>
      <c r="E66" s="96">
        <f>VLOOKUP(C66,SCD!$B$6:$H$65,3,0)</f>
        <v>203280</v>
      </c>
      <c r="F66" s="97">
        <f t="shared" si="4"/>
        <v>-190368.34200000006</v>
      </c>
    </row>
    <row r="67" spans="2:6" x14ac:dyDescent="0.35">
      <c r="B67" s="403"/>
      <c r="C67" s="75">
        <v>45962</v>
      </c>
      <c r="D67" s="95">
        <f>'Carvão &amp; Total'!C16*'Carvão &amp; Total'!D16</f>
        <v>100000</v>
      </c>
      <c r="E67" s="96">
        <f>VLOOKUP(C67,SCD!$B$6:$H$65,3,0)</f>
        <v>203164</v>
      </c>
      <c r="F67" s="97">
        <f t="shared" si="4"/>
        <v>-293532.34200000006</v>
      </c>
    </row>
    <row r="68" spans="2:6" x14ac:dyDescent="0.35">
      <c r="B68" s="403"/>
      <c r="C68" s="75">
        <v>45992</v>
      </c>
      <c r="D68" s="95">
        <f>'Carvão &amp; Total'!C17*'Carvão &amp; Total'!D17</f>
        <v>100000</v>
      </c>
      <c r="E68" s="96">
        <f>VLOOKUP(C68,SCD!$B$6:$H$65,3,0)</f>
        <v>152511</v>
      </c>
      <c r="F68" s="351">
        <f t="shared" si="4"/>
        <v>-346043.34200000006</v>
      </c>
    </row>
    <row r="71" spans="2:6" x14ac:dyDescent="0.35">
      <c r="C71" s="317" t="s">
        <v>318</v>
      </c>
    </row>
  </sheetData>
  <mergeCells count="7">
    <mergeCell ref="B57:B68"/>
    <mergeCell ref="B45:B56"/>
    <mergeCell ref="B1:L3"/>
    <mergeCell ref="C4:L6"/>
    <mergeCell ref="B9:B20"/>
    <mergeCell ref="B21:B32"/>
    <mergeCell ref="B33:B44"/>
  </mergeCells>
  <phoneticPr fontId="3" type="noConversion"/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>
    <tabColor theme="7" tint="0.79998168889431442"/>
  </sheetPr>
  <dimension ref="B1:K43"/>
  <sheetViews>
    <sheetView showGridLines="0" workbookViewId="0">
      <pane ySplit="5" topLeftCell="A31" activePane="bottomLeft" state="frozen"/>
      <selection pane="bottomLeft" activeCell="K35" sqref="K35"/>
    </sheetView>
  </sheetViews>
  <sheetFormatPr defaultRowHeight="14.5" x14ac:dyDescent="0.35"/>
  <cols>
    <col min="2" max="2" width="16.1796875" customWidth="1"/>
    <col min="3" max="3" width="13.54296875" customWidth="1"/>
    <col min="4" max="4" width="13.54296875" style="31" customWidth="1"/>
    <col min="5" max="5" width="15.7265625" style="31" bestFit="1" customWidth="1"/>
    <col min="6" max="6" width="19.7265625" style="31" bestFit="1" customWidth="1"/>
    <col min="7" max="7" width="17" style="30" bestFit="1" customWidth="1"/>
    <col min="8" max="8" width="18.81640625" style="30" bestFit="1" customWidth="1"/>
    <col min="9" max="9" width="10.7265625" bestFit="1" customWidth="1"/>
  </cols>
  <sheetData>
    <row r="1" spans="2:11" x14ac:dyDescent="0.35">
      <c r="B1" s="375" t="s">
        <v>316</v>
      </c>
      <c r="C1" s="376"/>
      <c r="D1" s="376"/>
      <c r="E1" s="376"/>
      <c r="F1" s="376"/>
      <c r="G1" s="376"/>
      <c r="H1" s="376"/>
    </row>
    <row r="2" spans="2:11" x14ac:dyDescent="0.35">
      <c r="B2" s="376"/>
      <c r="C2" s="376"/>
      <c r="D2" s="376"/>
      <c r="E2" s="376"/>
      <c r="F2" s="376"/>
      <c r="G2" s="376"/>
      <c r="H2" s="376"/>
    </row>
    <row r="3" spans="2:11" x14ac:dyDescent="0.35">
      <c r="B3" s="376"/>
      <c r="C3" s="376"/>
      <c r="D3" s="376"/>
      <c r="E3" s="376"/>
      <c r="F3" s="376"/>
      <c r="G3" s="376"/>
      <c r="H3" s="376"/>
    </row>
    <row r="4" spans="2:11" ht="13.5" customHeight="1" x14ac:dyDescent="0.35"/>
    <row r="5" spans="2:11" s="6" customFormat="1" ht="26.25" customHeight="1" x14ac:dyDescent="0.35">
      <c r="B5" s="178" t="s">
        <v>80</v>
      </c>
      <c r="C5" s="178" t="s">
        <v>84</v>
      </c>
      <c r="D5" s="178" t="s">
        <v>85</v>
      </c>
      <c r="E5" s="178" t="s">
        <v>86</v>
      </c>
      <c r="F5" s="178" t="s">
        <v>87</v>
      </c>
      <c r="G5" s="178" t="s">
        <v>191</v>
      </c>
      <c r="H5" s="178" t="s">
        <v>192</v>
      </c>
    </row>
    <row r="6" spans="2:11" x14ac:dyDescent="0.35">
      <c r="B6" s="88">
        <v>45658</v>
      </c>
      <c r="C6" s="88" t="s">
        <v>183</v>
      </c>
      <c r="D6" s="89">
        <v>486</v>
      </c>
      <c r="E6" s="89">
        <v>26.23</v>
      </c>
      <c r="F6" s="323">
        <v>32.590000000000003</v>
      </c>
      <c r="G6" s="90">
        <v>0</v>
      </c>
      <c r="H6" s="90"/>
    </row>
    <row r="7" spans="2:11" x14ac:dyDescent="0.35">
      <c r="B7" s="88"/>
      <c r="C7" s="88"/>
      <c r="D7" s="89"/>
      <c r="E7" s="89"/>
      <c r="F7" s="323"/>
      <c r="G7" s="90"/>
      <c r="H7" s="90"/>
    </row>
    <row r="8" spans="2:11" ht="15" thickBot="1" x14ac:dyDescent="0.4">
      <c r="B8" s="269" t="s">
        <v>244</v>
      </c>
      <c r="C8" s="91" t="s">
        <v>88</v>
      </c>
      <c r="D8" s="324">
        <f>SUM(D6:D6)</f>
        <v>486</v>
      </c>
      <c r="E8" s="324">
        <f>SUM(E6:E6)</f>
        <v>26.23</v>
      </c>
      <c r="F8" s="324">
        <f>SUM(F6:F6)</f>
        <v>32.590000000000003</v>
      </c>
      <c r="G8" s="92">
        <f>SUM(G6:G6)</f>
        <v>0</v>
      </c>
      <c r="H8" s="92">
        <f>SUM(H6:H6)</f>
        <v>0</v>
      </c>
    </row>
    <row r="9" spans="2:11" x14ac:dyDescent="0.35">
      <c r="B9" s="189">
        <v>45689</v>
      </c>
      <c r="C9" s="88" t="s">
        <v>183</v>
      </c>
      <c r="D9" s="89">
        <v>0</v>
      </c>
      <c r="E9" s="89">
        <v>0</v>
      </c>
      <c r="F9" s="89">
        <v>0</v>
      </c>
      <c r="G9" s="90"/>
      <c r="H9" s="90"/>
    </row>
    <row r="10" spans="2:11" x14ac:dyDescent="0.35">
      <c r="B10" s="273"/>
      <c r="C10" s="273"/>
      <c r="D10" s="274">
        <v>0</v>
      </c>
      <c r="E10" s="274">
        <v>0</v>
      </c>
      <c r="F10" s="274">
        <v>0</v>
      </c>
      <c r="G10" s="275"/>
      <c r="H10" s="275"/>
    </row>
    <row r="11" spans="2:11" ht="15" thickBot="1" x14ac:dyDescent="0.4">
      <c r="B11" s="91">
        <v>45689</v>
      </c>
      <c r="C11" s="91" t="s">
        <v>88</v>
      </c>
      <c r="D11" s="324">
        <f>SUM(D9:D9)</f>
        <v>0</v>
      </c>
      <c r="E11" s="324">
        <f>SUM(E9:E9)</f>
        <v>0</v>
      </c>
      <c r="F11" s="324">
        <f>SUM(F9:F9)</f>
        <v>0</v>
      </c>
      <c r="G11" s="92">
        <f>SUM(G9:G9)</f>
        <v>0</v>
      </c>
      <c r="H11" s="92">
        <f>SUM(H9:H9)</f>
        <v>0</v>
      </c>
      <c r="K11" s="10"/>
    </row>
    <row r="12" spans="2:11" ht="15" thickTop="1" x14ac:dyDescent="0.35">
      <c r="B12" s="88">
        <v>45717</v>
      </c>
      <c r="C12" s="88" t="s">
        <v>183</v>
      </c>
      <c r="D12" s="89">
        <v>0</v>
      </c>
      <c r="E12" s="89">
        <v>4.6900000000000004</v>
      </c>
      <c r="F12" s="89"/>
      <c r="G12" s="89"/>
      <c r="H12" s="90"/>
    </row>
    <row r="13" spans="2:11" x14ac:dyDescent="0.35">
      <c r="B13" s="273"/>
      <c r="C13" s="273"/>
      <c r="D13" s="274"/>
      <c r="E13" s="274"/>
      <c r="F13" s="274"/>
      <c r="G13" s="274"/>
      <c r="H13" s="275"/>
    </row>
    <row r="14" spans="2:11" ht="15" thickBot="1" x14ac:dyDescent="0.4">
      <c r="B14" s="91">
        <v>45717</v>
      </c>
      <c r="C14" s="91" t="s">
        <v>88</v>
      </c>
      <c r="D14" s="324">
        <v>0</v>
      </c>
      <c r="E14" s="324">
        <f>E12</f>
        <v>4.6900000000000004</v>
      </c>
      <c r="F14" s="324">
        <f>SUM(F12:F12)</f>
        <v>0</v>
      </c>
      <c r="G14" s="92">
        <f>SUM(G12:G12)</f>
        <v>0</v>
      </c>
      <c r="H14" s="92">
        <f>SUM(H12:H12)</f>
        <v>0</v>
      </c>
    </row>
    <row r="15" spans="2:11" ht="15" thickTop="1" x14ac:dyDescent="0.35">
      <c r="B15" s="88">
        <v>45748</v>
      </c>
      <c r="C15" s="88" t="s">
        <v>183</v>
      </c>
      <c r="D15" s="89">
        <v>118266.14</v>
      </c>
      <c r="E15" s="89">
        <v>185.81</v>
      </c>
      <c r="F15" s="89">
        <v>636.678</v>
      </c>
      <c r="G15" s="89"/>
      <c r="H15" s="90"/>
    </row>
    <row r="16" spans="2:11" x14ac:dyDescent="0.35">
      <c r="B16" s="273"/>
      <c r="C16" s="273"/>
      <c r="D16" s="274"/>
      <c r="E16" s="274"/>
      <c r="F16" s="274"/>
      <c r="G16" s="274"/>
      <c r="H16" s="275"/>
    </row>
    <row r="17" spans="2:8" ht="15" thickBot="1" x14ac:dyDescent="0.4">
      <c r="B17" s="91">
        <v>45748</v>
      </c>
      <c r="C17" s="91" t="s">
        <v>88</v>
      </c>
      <c r="D17" s="324">
        <v>0</v>
      </c>
      <c r="E17" s="324">
        <f>SUM(E15:E15)</f>
        <v>185.81</v>
      </c>
      <c r="F17" s="324">
        <f>SUM(F15:F15)</f>
        <v>636.678</v>
      </c>
      <c r="G17" s="92">
        <f>SUM(G15:G15)</f>
        <v>0</v>
      </c>
      <c r="H17" s="92">
        <f>SUM(H15:H15)</f>
        <v>0</v>
      </c>
    </row>
    <row r="18" spans="2:8" ht="15" thickTop="1" x14ac:dyDescent="0.35">
      <c r="B18" s="88">
        <v>45778</v>
      </c>
      <c r="C18" s="88" t="s">
        <v>183</v>
      </c>
      <c r="D18" s="89">
        <v>211318.51500000001</v>
      </c>
      <c r="E18" s="89">
        <v>3.38</v>
      </c>
      <c r="F18" s="89">
        <v>0</v>
      </c>
      <c r="G18" s="90"/>
      <c r="H18" s="90"/>
    </row>
    <row r="19" spans="2:8" x14ac:dyDescent="0.35">
      <c r="B19" s="273"/>
      <c r="C19" s="273"/>
      <c r="D19" s="274"/>
      <c r="E19" s="274"/>
      <c r="F19" s="274"/>
      <c r="G19" s="275"/>
      <c r="H19" s="275"/>
    </row>
    <row r="20" spans="2:8" ht="15" thickBot="1" x14ac:dyDescent="0.4">
      <c r="B20" s="91">
        <v>45808</v>
      </c>
      <c r="C20" s="91" t="s">
        <v>88</v>
      </c>
      <c r="D20" s="324">
        <f>SUM(D18:D18)</f>
        <v>211318.51500000001</v>
      </c>
      <c r="E20" s="324">
        <f>SUM(E18:E18)</f>
        <v>3.38</v>
      </c>
      <c r="F20" s="324">
        <v>0</v>
      </c>
      <c r="G20" s="92">
        <f>SUM(G18:G18)</f>
        <v>0</v>
      </c>
      <c r="H20" s="92">
        <f>SUM(H18:H18)</f>
        <v>0</v>
      </c>
    </row>
    <row r="21" spans="2:8" ht="15" thickTop="1" x14ac:dyDescent="0.35">
      <c r="B21" s="189">
        <v>45809</v>
      </c>
      <c r="C21" s="88" t="s">
        <v>183</v>
      </c>
      <c r="D21" s="325">
        <v>203219.95800000001</v>
      </c>
      <c r="E21" s="325">
        <v>3.26</v>
      </c>
      <c r="F21" s="325">
        <v>161.899</v>
      </c>
      <c r="G21" s="90"/>
      <c r="H21" s="90"/>
    </row>
    <row r="22" spans="2:8" x14ac:dyDescent="0.35">
      <c r="B22" s="273"/>
      <c r="C22" s="273"/>
      <c r="D22" s="274"/>
      <c r="E22" s="274"/>
      <c r="F22" s="274"/>
      <c r="G22" s="275"/>
      <c r="H22" s="275"/>
    </row>
    <row r="23" spans="2:8" ht="15" thickBot="1" x14ac:dyDescent="0.4">
      <c r="B23" s="91">
        <v>45809</v>
      </c>
      <c r="C23" s="91" t="s">
        <v>88</v>
      </c>
      <c r="D23" s="324">
        <f>SUM(D21:D21)</f>
        <v>203219.95800000001</v>
      </c>
      <c r="E23" s="324">
        <f>SUM(E21:E21)</f>
        <v>3.26</v>
      </c>
      <c r="F23" s="324">
        <f>SUM(F21:F21)</f>
        <v>161.899</v>
      </c>
      <c r="G23" s="92">
        <f>SUM(G21:G21)</f>
        <v>0</v>
      </c>
      <c r="H23" s="92">
        <f>SUM(H21:H21)</f>
        <v>0</v>
      </c>
    </row>
    <row r="24" spans="2:8" ht="15" thickTop="1" x14ac:dyDescent="0.35">
      <c r="B24" s="88">
        <v>45839</v>
      </c>
      <c r="C24" s="88" t="s">
        <v>183</v>
      </c>
      <c r="D24" s="89">
        <v>151561.35500000001</v>
      </c>
      <c r="E24" s="89">
        <v>67.430000000000007</v>
      </c>
      <c r="F24" s="89">
        <v>152.32300000000001</v>
      </c>
      <c r="G24" s="90"/>
      <c r="H24" s="90"/>
    </row>
    <row r="25" spans="2:8" x14ac:dyDescent="0.35">
      <c r="B25" s="75"/>
      <c r="C25" s="75"/>
      <c r="D25" s="87"/>
      <c r="E25" s="87"/>
      <c r="F25" s="87"/>
      <c r="G25" s="76"/>
      <c r="H25" s="76"/>
    </row>
    <row r="26" spans="2:8" ht="15" thickBot="1" x14ac:dyDescent="0.4">
      <c r="B26" s="91">
        <v>45869</v>
      </c>
      <c r="C26" s="91" t="s">
        <v>88</v>
      </c>
      <c r="D26" s="324">
        <f>SUM(D24:D25)</f>
        <v>151561.35500000001</v>
      </c>
      <c r="E26" s="324">
        <f>SUM(E24:E25)</f>
        <v>67.430000000000007</v>
      </c>
      <c r="F26" s="324">
        <f>SUM(F24:F25)</f>
        <v>152.32300000000001</v>
      </c>
      <c r="G26" s="92">
        <f>SUM(G24:G25)</f>
        <v>0</v>
      </c>
      <c r="H26" s="92">
        <f>SUM(H24:H25)</f>
        <v>0</v>
      </c>
    </row>
    <row r="27" spans="2:8" ht="15" thickTop="1" x14ac:dyDescent="0.35">
      <c r="B27" s="88">
        <v>45870</v>
      </c>
      <c r="C27" s="88" t="s">
        <v>183</v>
      </c>
      <c r="D27" s="89">
        <v>147695.37400000001</v>
      </c>
      <c r="E27" s="89">
        <v>20.69</v>
      </c>
      <c r="F27" s="89">
        <v>81.31</v>
      </c>
      <c r="G27" s="90"/>
      <c r="H27" s="90"/>
    </row>
    <row r="28" spans="2:8" x14ac:dyDescent="0.35">
      <c r="B28" s="75"/>
      <c r="C28" s="75"/>
      <c r="D28" s="87"/>
      <c r="E28" s="87"/>
      <c r="F28" s="87"/>
      <c r="G28" s="76"/>
      <c r="H28" s="76"/>
    </row>
    <row r="29" spans="2:8" ht="15" thickBot="1" x14ac:dyDescent="0.4">
      <c r="B29" s="91">
        <v>45900</v>
      </c>
      <c r="C29" s="91" t="s">
        <v>88</v>
      </c>
      <c r="D29" s="324">
        <f>SUM(D27:D28)</f>
        <v>147695.37400000001</v>
      </c>
      <c r="E29" s="324">
        <f>SUM(E27:E28)</f>
        <v>20.69</v>
      </c>
      <c r="F29" s="324">
        <f>SUM(F27:F28)</f>
        <v>81.31</v>
      </c>
      <c r="G29" s="92">
        <f>SUM(G27:G28)</f>
        <v>0</v>
      </c>
      <c r="H29" s="92">
        <f>SUM(H27:H28)</f>
        <v>0</v>
      </c>
    </row>
    <row r="30" spans="2:8" ht="15" thickTop="1" x14ac:dyDescent="0.35">
      <c r="B30" s="88">
        <v>45901</v>
      </c>
      <c r="C30" s="88" t="s">
        <v>183</v>
      </c>
      <c r="D30" s="326">
        <v>154541</v>
      </c>
      <c r="E30" s="326">
        <v>43.92</v>
      </c>
      <c r="F30" s="326">
        <v>139.93799999999999</v>
      </c>
      <c r="G30" s="90"/>
      <c r="H30" s="90"/>
    </row>
    <row r="31" spans="2:8" x14ac:dyDescent="0.35">
      <c r="B31" s="75"/>
      <c r="C31" s="75"/>
      <c r="D31" s="87"/>
      <c r="E31" s="87"/>
      <c r="F31" s="87"/>
      <c r="G31" s="76"/>
      <c r="H31" s="76"/>
    </row>
    <row r="32" spans="2:8" ht="15" thickBot="1" x14ac:dyDescent="0.4">
      <c r="B32" s="272">
        <v>45902</v>
      </c>
      <c r="C32" s="91" t="s">
        <v>88</v>
      </c>
      <c r="D32" s="324">
        <f>SUM(D30:D31)</f>
        <v>154541</v>
      </c>
      <c r="E32" s="324">
        <f>SUM(E30:E31)</f>
        <v>43.92</v>
      </c>
      <c r="F32" s="324">
        <f>SUM(F30:F31)</f>
        <v>139.93799999999999</v>
      </c>
      <c r="G32" s="92">
        <f>SUM(G30:G31)</f>
        <v>0</v>
      </c>
      <c r="H32" s="92">
        <f>SUM(H30:H31)</f>
        <v>0</v>
      </c>
    </row>
    <row r="33" spans="2:8" ht="15" thickTop="1" x14ac:dyDescent="0.35">
      <c r="B33" s="189">
        <v>45931</v>
      </c>
      <c r="C33" s="88" t="s">
        <v>183</v>
      </c>
      <c r="D33" s="89">
        <v>203280</v>
      </c>
      <c r="E33" s="89">
        <v>21.54</v>
      </c>
      <c r="F33" s="89">
        <v>153.75</v>
      </c>
      <c r="G33" s="90"/>
      <c r="H33" s="90"/>
    </row>
    <row r="34" spans="2:8" x14ac:dyDescent="0.35">
      <c r="B34" s="75"/>
      <c r="C34" s="75"/>
      <c r="D34" s="87"/>
      <c r="E34" s="87"/>
      <c r="F34" s="87"/>
      <c r="G34" s="76"/>
      <c r="H34" s="76"/>
    </row>
    <row r="35" spans="2:8" ht="15" thickBot="1" x14ac:dyDescent="0.4">
      <c r="B35" s="270">
        <v>45931</v>
      </c>
      <c r="C35" s="91" t="s">
        <v>88</v>
      </c>
      <c r="D35" s="324">
        <f>SUM(D33:D34)</f>
        <v>203280</v>
      </c>
      <c r="E35" s="324">
        <f>SUM(E33:E34)</f>
        <v>21.54</v>
      </c>
      <c r="F35" s="324">
        <f>SUM(F33:F34)</f>
        <v>153.75</v>
      </c>
      <c r="G35" s="92">
        <f>SUM(G33:G34)</f>
        <v>0</v>
      </c>
      <c r="H35" s="92">
        <f>SUM(H33:H34)</f>
        <v>0</v>
      </c>
    </row>
    <row r="36" spans="2:8" ht="15" thickTop="1" x14ac:dyDescent="0.35">
      <c r="B36" s="189">
        <v>45962</v>
      </c>
      <c r="C36" s="88" t="s">
        <v>183</v>
      </c>
      <c r="D36" s="359">
        <v>203164</v>
      </c>
      <c r="E36" s="359">
        <v>0</v>
      </c>
      <c r="F36" s="359">
        <v>0</v>
      </c>
      <c r="G36" s="90"/>
      <c r="H36" s="90"/>
    </row>
    <row r="37" spans="2:8" x14ac:dyDescent="0.35">
      <c r="B37" s="75"/>
      <c r="C37" s="75"/>
      <c r="D37" s="89"/>
      <c r="E37" s="89"/>
      <c r="F37" s="89"/>
      <c r="G37" s="76"/>
      <c r="H37" s="76"/>
    </row>
    <row r="38" spans="2:8" ht="15" thickBot="1" x14ac:dyDescent="0.4">
      <c r="B38" s="271" t="s">
        <v>250</v>
      </c>
      <c r="C38" s="91" t="s">
        <v>88</v>
      </c>
      <c r="D38" s="324">
        <f>SUM(D36:D37)</f>
        <v>203164</v>
      </c>
      <c r="E38" s="324">
        <f>SUM(E36:E37)</f>
        <v>0</v>
      </c>
      <c r="F38" s="324">
        <f>SUM(F36:F37)</f>
        <v>0</v>
      </c>
      <c r="G38" s="92">
        <f>SUM(G36:G37)</f>
        <v>0</v>
      </c>
      <c r="H38" s="92">
        <f>SUM(H36:H37)</f>
        <v>0</v>
      </c>
    </row>
    <row r="39" spans="2:8" ht="15" thickTop="1" x14ac:dyDescent="0.35">
      <c r="B39" s="189">
        <v>45992</v>
      </c>
      <c r="C39" s="88" t="s">
        <v>183</v>
      </c>
      <c r="D39" s="359">
        <v>152511</v>
      </c>
      <c r="E39" s="359">
        <v>28.23</v>
      </c>
      <c r="F39" s="360">
        <v>244.46</v>
      </c>
      <c r="G39" s="90"/>
      <c r="H39" s="90"/>
    </row>
    <row r="40" spans="2:8" x14ac:dyDescent="0.35">
      <c r="B40" s="75"/>
      <c r="C40" s="75"/>
      <c r="D40" s="87"/>
      <c r="E40" s="87"/>
      <c r="F40" s="87"/>
      <c r="G40" s="76"/>
      <c r="H40" s="76"/>
    </row>
    <row r="41" spans="2:8" ht="15" thickBot="1" x14ac:dyDescent="0.4">
      <c r="B41" s="91">
        <v>46022</v>
      </c>
      <c r="C41" s="91" t="s">
        <v>88</v>
      </c>
      <c r="D41" s="324">
        <f>SUM(D39:D40)</f>
        <v>152511</v>
      </c>
      <c r="E41" s="324">
        <f>SUM(E39:E40)</f>
        <v>28.23</v>
      </c>
      <c r="F41" s="324">
        <f>SUM(F39:F40)</f>
        <v>244.46</v>
      </c>
      <c r="G41" s="92">
        <f>SUM(G39:G40)</f>
        <v>0</v>
      </c>
      <c r="H41" s="92">
        <f>SUM(H39:H40)</f>
        <v>0</v>
      </c>
    </row>
    <row r="42" spans="2:8" ht="15" thickTop="1" x14ac:dyDescent="0.35"/>
    <row r="43" spans="2:8" x14ac:dyDescent="0.35">
      <c r="B43" s="317" t="s">
        <v>311</v>
      </c>
    </row>
  </sheetData>
  <mergeCells count="1">
    <mergeCell ref="B1:H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11F4F-8E88-47AB-9D90-11347CE7E96C}">
  <dimension ref="B1:L33"/>
  <sheetViews>
    <sheetView showGridLines="0" tabSelected="1" zoomScale="55" zoomScaleNormal="55" workbookViewId="0">
      <selection activeCell="L18" sqref="L18:L22"/>
    </sheetView>
  </sheetViews>
  <sheetFormatPr defaultRowHeight="14.5" x14ac:dyDescent="0.35"/>
  <cols>
    <col min="1" max="1" width="3.81640625" customWidth="1"/>
    <col min="2" max="2" width="10.26953125" bestFit="1" customWidth="1"/>
    <col min="3" max="3" width="16.81640625" bestFit="1" customWidth="1"/>
    <col min="4" max="4" width="12" customWidth="1"/>
    <col min="5" max="5" width="115" bestFit="1" customWidth="1"/>
    <col min="6" max="6" width="14.26953125" customWidth="1"/>
    <col min="7" max="7" width="20.36328125" style="39" customWidth="1"/>
    <col min="8" max="8" width="23.54296875" style="39" customWidth="1"/>
    <col min="9" max="9" width="18.7265625" style="39" customWidth="1"/>
    <col min="10" max="10" width="14.7265625" customWidth="1"/>
    <col min="11" max="11" width="17.1796875" style="39" customWidth="1"/>
    <col min="12" max="12" width="12.7265625" bestFit="1" customWidth="1"/>
  </cols>
  <sheetData>
    <row r="1" spans="2:12" x14ac:dyDescent="0.35">
      <c r="B1" s="405" t="s">
        <v>317</v>
      </c>
      <c r="C1" s="405"/>
      <c r="D1" s="405"/>
      <c r="E1" s="405"/>
      <c r="F1" s="405"/>
      <c r="G1" s="405"/>
      <c r="H1" s="405"/>
      <c r="I1" s="405"/>
      <c r="J1" s="405"/>
      <c r="K1" s="405"/>
    </row>
    <row r="2" spans="2:12" x14ac:dyDescent="0.35">
      <c r="B2" s="405"/>
      <c r="C2" s="405"/>
      <c r="D2" s="405"/>
      <c r="E2" s="405"/>
      <c r="F2" s="405"/>
      <c r="G2" s="405"/>
      <c r="H2" s="405"/>
      <c r="I2" s="405"/>
      <c r="J2" s="405"/>
      <c r="K2" s="405"/>
    </row>
    <row r="3" spans="2:12" x14ac:dyDescent="0.35">
      <c r="B3" s="405"/>
      <c r="C3" s="405"/>
      <c r="D3" s="405"/>
      <c r="E3" s="405"/>
      <c r="F3" s="405"/>
      <c r="G3" s="405"/>
      <c r="H3" s="405"/>
      <c r="I3" s="405"/>
      <c r="J3" s="405"/>
      <c r="K3" s="405"/>
    </row>
    <row r="5" spans="2:12" s="4" customFormat="1" ht="43.5" x14ac:dyDescent="0.35">
      <c r="B5" s="169" t="s">
        <v>109</v>
      </c>
      <c r="C5" s="169" t="s">
        <v>50</v>
      </c>
      <c r="D5" s="169" t="s">
        <v>57</v>
      </c>
      <c r="E5" s="169" t="s">
        <v>32</v>
      </c>
      <c r="F5" s="169" t="s">
        <v>51</v>
      </c>
      <c r="G5" s="169" t="s">
        <v>53</v>
      </c>
      <c r="H5" s="169" t="s">
        <v>54</v>
      </c>
      <c r="I5" s="74" t="s">
        <v>52</v>
      </c>
      <c r="J5" s="169" t="s">
        <v>120</v>
      </c>
      <c r="K5" s="74" t="s">
        <v>55</v>
      </c>
    </row>
    <row r="6" spans="2:12" x14ac:dyDescent="0.35">
      <c r="B6" s="75">
        <v>45658</v>
      </c>
      <c r="C6" s="76" t="s">
        <v>269</v>
      </c>
      <c r="D6" s="76">
        <v>1</v>
      </c>
      <c r="E6" s="76" t="s">
        <v>271</v>
      </c>
      <c r="F6" s="77">
        <v>45853</v>
      </c>
      <c r="G6" s="78">
        <v>115154.35</v>
      </c>
      <c r="H6" s="39">
        <v>117621.21</v>
      </c>
      <c r="I6" s="79">
        <f t="shared" ref="I6:I7" si="0">H6-G6</f>
        <v>2466.8600000000006</v>
      </c>
      <c r="J6" s="76">
        <v>1.0282762000000001</v>
      </c>
      <c r="K6" s="79">
        <f>I6*J6</f>
        <v>2536.6134267320008</v>
      </c>
      <c r="L6" s="39"/>
    </row>
    <row r="7" spans="2:12" x14ac:dyDescent="0.35">
      <c r="B7" s="75">
        <v>45658</v>
      </c>
      <c r="C7" s="76" t="s">
        <v>270</v>
      </c>
      <c r="D7" s="76">
        <v>1</v>
      </c>
      <c r="E7" s="76" t="s">
        <v>271</v>
      </c>
      <c r="F7" s="77">
        <v>45853</v>
      </c>
      <c r="G7" s="78">
        <v>110590.41</v>
      </c>
      <c r="H7" s="78">
        <v>112959.5</v>
      </c>
      <c r="I7" s="80">
        <f t="shared" si="0"/>
        <v>2369.0899999999965</v>
      </c>
      <c r="J7" s="76">
        <v>1.0282762000000001</v>
      </c>
      <c r="K7" s="80">
        <f>I7*J7</f>
        <v>2436.0788626579965</v>
      </c>
    </row>
    <row r="8" spans="2:12" x14ac:dyDescent="0.35">
      <c r="B8" s="75">
        <v>45658</v>
      </c>
      <c r="C8" s="76" t="s">
        <v>272</v>
      </c>
      <c r="D8" s="76">
        <v>1</v>
      </c>
      <c r="E8" s="76" t="s">
        <v>271</v>
      </c>
      <c r="F8" s="77">
        <v>45853</v>
      </c>
      <c r="G8" s="78">
        <v>12106919.41</v>
      </c>
      <c r="H8" s="78">
        <v>12374344.609999999</v>
      </c>
      <c r="I8" s="79">
        <f>H8-G8</f>
        <v>267425.19999999925</v>
      </c>
      <c r="J8" s="76">
        <v>1.0282762000000001</v>
      </c>
      <c r="K8" s="80">
        <f t="shared" ref="K8:K14" si="1">I8*J8</f>
        <v>274986.96844023926</v>
      </c>
    </row>
    <row r="9" spans="2:12" x14ac:dyDescent="0.35">
      <c r="B9" s="75">
        <v>45809</v>
      </c>
      <c r="C9" s="76" t="s">
        <v>272</v>
      </c>
      <c r="D9" s="76">
        <v>1</v>
      </c>
      <c r="E9" s="76" t="s">
        <v>300</v>
      </c>
      <c r="F9" s="77" t="s">
        <v>209</v>
      </c>
      <c r="G9" s="78">
        <v>13320543.804973498</v>
      </c>
      <c r="H9" s="78">
        <v>13320543.804973498</v>
      </c>
      <c r="I9" s="80">
        <f t="shared" ref="I9" si="2">H9-G9</f>
        <v>0</v>
      </c>
      <c r="J9" s="76">
        <v>1</v>
      </c>
      <c r="K9" s="80">
        <f t="shared" si="1"/>
        <v>0</v>
      </c>
    </row>
    <row r="10" spans="2:12" x14ac:dyDescent="0.35">
      <c r="B10" s="75">
        <v>45839</v>
      </c>
      <c r="C10" s="76" t="s">
        <v>272</v>
      </c>
      <c r="D10" s="76">
        <v>1</v>
      </c>
      <c r="E10" s="76" t="s">
        <v>301</v>
      </c>
      <c r="F10" s="77" t="s">
        <v>209</v>
      </c>
      <c r="G10" s="78">
        <v>13320543.804973498</v>
      </c>
      <c r="H10" s="78">
        <v>13320543.804973498</v>
      </c>
      <c r="I10" s="79">
        <f t="shared" ref="I10:I16" si="3">H10-G10</f>
        <v>0</v>
      </c>
      <c r="J10" s="76">
        <v>1</v>
      </c>
      <c r="K10" s="80">
        <f t="shared" si="1"/>
        <v>0</v>
      </c>
    </row>
    <row r="11" spans="2:12" x14ac:dyDescent="0.35">
      <c r="B11" s="75">
        <v>45870</v>
      </c>
      <c r="C11" s="76" t="s">
        <v>272</v>
      </c>
      <c r="D11" s="76">
        <v>1</v>
      </c>
      <c r="E11" s="76" t="s">
        <v>303</v>
      </c>
      <c r="F11" s="77" t="s">
        <v>209</v>
      </c>
      <c r="G11" s="78">
        <v>13320543.804973498</v>
      </c>
      <c r="H11" s="78">
        <v>13320543.804973498</v>
      </c>
      <c r="I11" s="79">
        <f t="shared" si="3"/>
        <v>0</v>
      </c>
      <c r="J11" s="76">
        <v>1</v>
      </c>
      <c r="K11" s="80">
        <f t="shared" si="1"/>
        <v>0</v>
      </c>
    </row>
    <row r="12" spans="2:12" x14ac:dyDescent="0.35">
      <c r="B12" s="75">
        <v>45901</v>
      </c>
      <c r="C12" s="76" t="s">
        <v>272</v>
      </c>
      <c r="D12" s="76">
        <v>1</v>
      </c>
      <c r="E12" s="76" t="s">
        <v>307</v>
      </c>
      <c r="F12" s="77" t="s">
        <v>209</v>
      </c>
      <c r="G12" s="78">
        <v>13320543.804973498</v>
      </c>
      <c r="H12" s="78">
        <v>13320543.804973498</v>
      </c>
      <c r="I12" s="79">
        <v>0</v>
      </c>
      <c r="J12" s="76">
        <v>1</v>
      </c>
      <c r="K12" s="80">
        <f t="shared" si="1"/>
        <v>0</v>
      </c>
    </row>
    <row r="13" spans="2:12" x14ac:dyDescent="0.35">
      <c r="B13" s="75">
        <v>45901</v>
      </c>
      <c r="C13" s="76" t="s">
        <v>269</v>
      </c>
      <c r="D13" s="76">
        <v>1</v>
      </c>
      <c r="E13" s="76" t="s">
        <v>308</v>
      </c>
      <c r="F13" s="77">
        <v>45976</v>
      </c>
      <c r="G13" s="78">
        <v>3708253.96</v>
      </c>
      <c r="H13" s="78">
        <v>429951.48</v>
      </c>
      <c r="I13" s="79">
        <v>-3278302.48</v>
      </c>
      <c r="J13" s="76">
        <v>1.0008999999999999</v>
      </c>
      <c r="K13" s="80">
        <f t="shared" si="1"/>
        <v>-3281252.9522319995</v>
      </c>
    </row>
    <row r="14" spans="2:12" x14ac:dyDescent="0.35">
      <c r="B14" s="75">
        <v>45901</v>
      </c>
      <c r="C14" s="76" t="s">
        <v>270</v>
      </c>
      <c r="D14" s="76">
        <v>1</v>
      </c>
      <c r="E14" s="76" t="s">
        <v>309</v>
      </c>
      <c r="F14" s="77">
        <v>45976</v>
      </c>
      <c r="G14" s="78">
        <v>1074233.72</v>
      </c>
      <c r="H14" s="78">
        <v>175548.24</v>
      </c>
      <c r="I14" s="79">
        <v>-898685.48</v>
      </c>
      <c r="J14" s="76">
        <v>1.0008999999999999</v>
      </c>
      <c r="K14" s="80">
        <f t="shared" si="1"/>
        <v>-899494.29693199985</v>
      </c>
    </row>
    <row r="15" spans="2:12" x14ac:dyDescent="0.35">
      <c r="B15" s="75">
        <v>45931</v>
      </c>
      <c r="C15" s="76" t="s">
        <v>272</v>
      </c>
      <c r="D15" s="76">
        <v>1</v>
      </c>
      <c r="E15" s="76" t="s">
        <v>319</v>
      </c>
      <c r="F15" s="77" t="s">
        <v>209</v>
      </c>
      <c r="G15" s="78">
        <v>13320543.804973498</v>
      </c>
      <c r="H15" s="78">
        <v>13320543.804973498</v>
      </c>
      <c r="I15" s="79">
        <v>0</v>
      </c>
      <c r="J15" s="76">
        <v>1</v>
      </c>
      <c r="K15" s="80">
        <f t="shared" ref="K15" si="4">I15*J15</f>
        <v>0</v>
      </c>
    </row>
    <row r="16" spans="2:12" x14ac:dyDescent="0.35">
      <c r="B16" s="75">
        <v>45778</v>
      </c>
      <c r="C16" s="76" t="s">
        <v>269</v>
      </c>
      <c r="D16" s="76">
        <v>1</v>
      </c>
      <c r="E16" s="76" t="s">
        <v>326</v>
      </c>
      <c r="F16" s="77">
        <v>46037</v>
      </c>
      <c r="G16" s="78">
        <v>82697.009999999995</v>
      </c>
      <c r="H16" s="78">
        <v>0</v>
      </c>
      <c r="I16" s="79">
        <f t="shared" si="3"/>
        <v>-82697.009999999995</v>
      </c>
      <c r="J16" s="337">
        <f>Financeiro!H42</f>
        <v>1.0033000000000001</v>
      </c>
      <c r="K16" s="79">
        <f>IF(J16&gt;1,I16*J16,I16)</f>
        <v>-82969.910132999998</v>
      </c>
    </row>
    <row r="17" spans="2:12" x14ac:dyDescent="0.35">
      <c r="B17" s="75">
        <v>45748</v>
      </c>
      <c r="C17" s="76" t="s">
        <v>272</v>
      </c>
      <c r="D17" s="76">
        <v>1</v>
      </c>
      <c r="E17" s="76" t="s">
        <v>325</v>
      </c>
      <c r="F17" s="77"/>
      <c r="G17" s="78">
        <v>13320543.804973498</v>
      </c>
      <c r="H17" s="78">
        <v>13320543.804973498</v>
      </c>
      <c r="I17" s="79">
        <f>H17-G17</f>
        <v>0</v>
      </c>
      <c r="J17" s="76"/>
      <c r="K17" s="79">
        <f t="shared" ref="K17:K18" si="5">IF(J17&gt;1,I17*J17,I17)</f>
        <v>0</v>
      </c>
    </row>
    <row r="18" spans="2:12" x14ac:dyDescent="0.35">
      <c r="B18" s="352">
        <v>45962</v>
      </c>
      <c r="C18" s="353" t="s">
        <v>272</v>
      </c>
      <c r="D18" s="353">
        <v>1</v>
      </c>
      <c r="E18" s="353" t="s">
        <v>328</v>
      </c>
      <c r="F18" s="354" t="s">
        <v>209</v>
      </c>
      <c r="G18" s="355">
        <v>13320543.804973498</v>
      </c>
      <c r="H18" s="355">
        <v>13320543.804973498</v>
      </c>
      <c r="I18" s="356">
        <f>H18-G18</f>
        <v>0</v>
      </c>
      <c r="J18" s="353"/>
      <c r="K18" s="356">
        <f t="shared" si="5"/>
        <v>0</v>
      </c>
    </row>
    <row r="19" spans="2:12" x14ac:dyDescent="0.35">
      <c r="B19" s="352">
        <v>45962</v>
      </c>
      <c r="C19" s="353" t="s">
        <v>270</v>
      </c>
      <c r="D19" s="353">
        <v>1</v>
      </c>
      <c r="E19" s="353" t="s">
        <v>329</v>
      </c>
      <c r="F19" s="354">
        <v>46068</v>
      </c>
      <c r="G19" s="355">
        <v>1169888.29</v>
      </c>
      <c r="H19" s="355">
        <f>'Carvão &amp; Total'!L16</f>
        <v>0</v>
      </c>
      <c r="I19" s="356">
        <f>H19-G19</f>
        <v>-1169888.29</v>
      </c>
      <c r="J19" s="353">
        <v>1.0033000000000001</v>
      </c>
      <c r="K19" s="356">
        <f t="shared" ref="K19:K24" si="6">I19*J19</f>
        <v>-1173748.9213570002</v>
      </c>
      <c r="L19" s="39"/>
    </row>
    <row r="20" spans="2:12" x14ac:dyDescent="0.35">
      <c r="B20" s="352">
        <v>45962</v>
      </c>
      <c r="C20" s="353" t="s">
        <v>269</v>
      </c>
      <c r="D20" s="353">
        <v>1</v>
      </c>
      <c r="E20" s="353" t="s">
        <v>330</v>
      </c>
      <c r="F20" s="354">
        <v>46068</v>
      </c>
      <c r="G20" s="355">
        <v>4935643.3</v>
      </c>
      <c r="H20" s="355">
        <f>'Carvão &amp; Total'!M16</f>
        <v>0</v>
      </c>
      <c r="I20" s="356">
        <f t="shared" ref="I20:I24" si="7">H20-G20</f>
        <v>-4935643.3</v>
      </c>
      <c r="J20" s="353">
        <v>1.0033000000000001</v>
      </c>
      <c r="K20" s="356">
        <f t="shared" si="6"/>
        <v>-4951930.92289</v>
      </c>
      <c r="L20" s="39"/>
    </row>
    <row r="21" spans="2:12" x14ac:dyDescent="0.35">
      <c r="B21" s="352">
        <v>45992</v>
      </c>
      <c r="C21" s="353" t="s">
        <v>272</v>
      </c>
      <c r="D21" s="353">
        <v>1</v>
      </c>
      <c r="E21" s="353" t="s">
        <v>331</v>
      </c>
      <c r="F21" s="354" t="s">
        <v>209</v>
      </c>
      <c r="G21" s="355">
        <v>13320543.804973498</v>
      </c>
      <c r="H21" s="355">
        <v>13320543.804973498</v>
      </c>
      <c r="I21" s="356">
        <f t="shared" si="7"/>
        <v>0</v>
      </c>
      <c r="J21" s="353"/>
      <c r="K21" s="356">
        <f t="shared" si="6"/>
        <v>0</v>
      </c>
      <c r="L21" s="39"/>
    </row>
    <row r="22" spans="2:12" x14ac:dyDescent="0.35">
      <c r="B22" s="352">
        <v>45992</v>
      </c>
      <c r="C22" s="353" t="s">
        <v>269</v>
      </c>
      <c r="D22" s="353">
        <v>1</v>
      </c>
      <c r="E22" s="353" t="s">
        <v>332</v>
      </c>
      <c r="F22" s="354">
        <v>46068</v>
      </c>
      <c r="G22" s="355">
        <v>1772395.15</v>
      </c>
      <c r="H22" s="355">
        <v>697039.44</v>
      </c>
      <c r="I22" s="356">
        <f t="shared" si="7"/>
        <v>-1075355.71</v>
      </c>
      <c r="J22" s="353">
        <v>1.0033000000000001</v>
      </c>
      <c r="K22" s="356">
        <f t="shared" si="6"/>
        <v>-1078904.383843</v>
      </c>
      <c r="L22" s="39"/>
    </row>
    <row r="23" spans="2:12" x14ac:dyDescent="0.35">
      <c r="B23" s="75"/>
      <c r="C23" s="76"/>
      <c r="D23" s="76"/>
      <c r="E23" s="76"/>
      <c r="F23" s="77"/>
      <c r="G23" s="78"/>
      <c r="H23" s="78"/>
      <c r="I23" s="79"/>
      <c r="J23" s="76"/>
      <c r="K23" s="79"/>
    </row>
    <row r="24" spans="2:12" x14ac:dyDescent="0.35">
      <c r="B24" s="75"/>
      <c r="C24" s="76"/>
      <c r="D24" s="76"/>
      <c r="E24" s="76"/>
      <c r="F24" s="77"/>
      <c r="G24" s="78"/>
      <c r="H24" s="78"/>
      <c r="I24" s="80">
        <f t="shared" si="7"/>
        <v>0</v>
      </c>
      <c r="J24" s="76"/>
      <c r="K24" s="80">
        <f t="shared" si="6"/>
        <v>0</v>
      </c>
    </row>
    <row r="25" spans="2:12" x14ac:dyDescent="0.35">
      <c r="F25" s="39"/>
      <c r="J25" s="39"/>
      <c r="L25" s="39"/>
    </row>
    <row r="26" spans="2:12" x14ac:dyDescent="0.35">
      <c r="B26" s="317" t="s">
        <v>311</v>
      </c>
      <c r="F26" s="39"/>
      <c r="J26" s="39"/>
    </row>
    <row r="27" spans="2:12" x14ac:dyDescent="0.35">
      <c r="F27" s="39"/>
      <c r="J27" s="39"/>
    </row>
    <row r="28" spans="2:12" x14ac:dyDescent="0.35">
      <c r="F28" s="39"/>
      <c r="J28" s="39"/>
    </row>
    <row r="29" spans="2:12" x14ac:dyDescent="0.35">
      <c r="F29" s="39"/>
      <c r="J29" s="39"/>
    </row>
    <row r="30" spans="2:12" x14ac:dyDescent="0.35">
      <c r="F30" s="39"/>
      <c r="J30" s="39"/>
    </row>
    <row r="31" spans="2:12" x14ac:dyDescent="0.35">
      <c r="F31" s="39"/>
      <c r="J31" s="39"/>
    </row>
    <row r="32" spans="2:12" x14ac:dyDescent="0.35">
      <c r="B32" s="70"/>
      <c r="F32" s="39"/>
      <c r="J32" s="39"/>
    </row>
    <row r="33" spans="6:10" x14ac:dyDescent="0.35">
      <c r="F33" s="39"/>
      <c r="J33" s="39"/>
    </row>
  </sheetData>
  <mergeCells count="1">
    <mergeCell ref="B1:K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K16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5515-72D7-4537-BE63-4780DBD713FA}">
  <dimension ref="B1:U82"/>
  <sheetViews>
    <sheetView showGridLines="0" zoomScale="55" zoomScaleNormal="55" workbookViewId="0">
      <selection activeCell="M44" sqref="M44"/>
    </sheetView>
  </sheetViews>
  <sheetFormatPr defaultRowHeight="14.5" x14ac:dyDescent="0.35"/>
  <cols>
    <col min="1" max="1" width="2.7265625" customWidth="1"/>
    <col min="2" max="3" width="12.81640625" customWidth="1"/>
    <col min="4" max="4" width="35" bestFit="1" customWidth="1"/>
    <col min="5" max="6" width="16.81640625" customWidth="1"/>
    <col min="7" max="7" width="18" style="39" bestFit="1" customWidth="1"/>
    <col min="8" max="8" width="14.54296875" bestFit="1" customWidth="1"/>
    <col min="9" max="9" width="16.26953125" style="39" bestFit="1" customWidth="1"/>
    <col min="10" max="10" width="18" style="39" bestFit="1" customWidth="1"/>
    <col min="11" max="11" width="18.453125" customWidth="1"/>
    <col min="12" max="12" width="16.81640625" bestFit="1" customWidth="1"/>
    <col min="13" max="13" width="18" bestFit="1" customWidth="1"/>
    <col min="14" max="14" width="13.26953125" bestFit="1" customWidth="1"/>
    <col min="15" max="15" width="18" bestFit="1" customWidth="1"/>
    <col min="16" max="16" width="14.26953125" bestFit="1" customWidth="1"/>
    <col min="17" max="17" width="11.81640625" customWidth="1"/>
    <col min="18" max="18" width="18" bestFit="1" customWidth="1"/>
    <col min="19" max="19" width="13.26953125" bestFit="1" customWidth="1"/>
    <col min="20" max="20" width="18" bestFit="1" customWidth="1"/>
    <col min="21" max="21" width="21.7265625" bestFit="1" customWidth="1"/>
  </cols>
  <sheetData>
    <row r="1" spans="2:21" x14ac:dyDescent="0.35">
      <c r="B1" s="363" t="s">
        <v>310</v>
      </c>
      <c r="C1" s="363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</row>
    <row r="2" spans="2:21" x14ac:dyDescent="0.35"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</row>
    <row r="3" spans="2:21" x14ac:dyDescent="0.35"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</row>
    <row r="5" spans="2:21" ht="16.5" customHeight="1" x14ac:dyDescent="0.35">
      <c r="B5" s="372" t="s">
        <v>34</v>
      </c>
      <c r="C5" s="372"/>
      <c r="D5" s="372"/>
      <c r="E5" s="372"/>
      <c r="F5" s="372"/>
      <c r="G5" s="372"/>
      <c r="H5" s="372"/>
      <c r="I5" s="372"/>
      <c r="J5" s="372"/>
      <c r="L5" s="406" t="s">
        <v>56</v>
      </c>
      <c r="M5" s="406"/>
      <c r="N5" s="406"/>
      <c r="O5" s="406"/>
      <c r="Q5" s="372" t="s">
        <v>131</v>
      </c>
      <c r="R5" s="372"/>
      <c r="S5" s="372"/>
      <c r="T5" s="372"/>
    </row>
    <row r="6" spans="2:21" s="2" customFormat="1" ht="43.5" x14ac:dyDescent="0.35">
      <c r="B6" s="169" t="s">
        <v>129</v>
      </c>
      <c r="C6" s="169" t="s">
        <v>130</v>
      </c>
      <c r="D6" s="169" t="s">
        <v>50</v>
      </c>
      <c r="E6" s="169" t="s">
        <v>33</v>
      </c>
      <c r="F6" s="169" t="s">
        <v>132</v>
      </c>
      <c r="G6" s="169" t="s">
        <v>128</v>
      </c>
      <c r="H6" s="72" t="s">
        <v>133</v>
      </c>
      <c r="I6" s="73" t="s">
        <v>119</v>
      </c>
      <c r="J6" s="74" t="s">
        <v>127</v>
      </c>
      <c r="K6" s="4"/>
      <c r="L6" s="71" t="s">
        <v>19</v>
      </c>
      <c r="M6" s="73" t="s">
        <v>126</v>
      </c>
      <c r="N6" s="73" t="s">
        <v>118</v>
      </c>
      <c r="O6" s="74" t="s">
        <v>74</v>
      </c>
      <c r="Q6" s="169" t="s">
        <v>19</v>
      </c>
      <c r="R6" s="73" t="s">
        <v>126</v>
      </c>
      <c r="S6" s="73" t="s">
        <v>118</v>
      </c>
      <c r="T6" s="86" t="s">
        <v>74</v>
      </c>
      <c r="U6" s="1"/>
    </row>
    <row r="7" spans="2:21" x14ac:dyDescent="0.35">
      <c r="B7" s="75">
        <f t="shared" ref="B7:B15" si="0">DATE(YEAR(F7),MONTH(F7),1)</f>
        <v>45689</v>
      </c>
      <c r="C7" s="75">
        <v>45658</v>
      </c>
      <c r="D7" s="76" t="s">
        <v>267</v>
      </c>
      <c r="E7" s="76"/>
      <c r="F7" s="77">
        <v>45705</v>
      </c>
      <c r="G7" s="82">
        <v>12106919.41</v>
      </c>
      <c r="H7" s="76">
        <v>1</v>
      </c>
      <c r="I7" s="78">
        <f t="shared" ref="I7:I29" si="1">(G7*H7)-G7</f>
        <v>0</v>
      </c>
      <c r="J7" s="250">
        <f t="shared" ref="J7:J29" si="2">G7+I7</f>
        <v>12106919.41</v>
      </c>
      <c r="L7" s="81" t="s">
        <v>244</v>
      </c>
      <c r="M7" s="82">
        <f t="shared" ref="M7:M18" si="3">SUMIF($C:$C,L7,$G:$G)</f>
        <v>12604925.319999998</v>
      </c>
      <c r="N7" s="82">
        <f t="shared" ref="N7:N18" si="4">SUMIF($C:$C,L7,$I:$I)</f>
        <v>7698.5107296300048</v>
      </c>
      <c r="O7" s="82">
        <f>SUM(M7:N7)</f>
        <v>12612623.830729628</v>
      </c>
      <c r="Q7" s="81" t="s">
        <v>244</v>
      </c>
      <c r="R7" s="82">
        <f t="shared" ref="R7:R18" si="5">SUMIF($B:$B,Q7,$G:$G)</f>
        <v>0</v>
      </c>
      <c r="S7" s="82">
        <f t="shared" ref="S7:S18" si="6">SUMIF($B:$B,Q7,$I:$I)</f>
        <v>0</v>
      </c>
      <c r="T7" s="82">
        <f>SUM(R7:S7)</f>
        <v>0</v>
      </c>
    </row>
    <row r="8" spans="2:21" x14ac:dyDescent="0.35">
      <c r="B8" s="75">
        <f t="shared" si="0"/>
        <v>45689</v>
      </c>
      <c r="C8" s="75">
        <v>45658</v>
      </c>
      <c r="D8" s="76" t="s">
        <v>304</v>
      </c>
      <c r="E8" s="76"/>
      <c r="F8" s="77">
        <v>45705</v>
      </c>
      <c r="G8" s="343">
        <v>115154.35</v>
      </c>
      <c r="H8" s="76">
        <v>1</v>
      </c>
      <c r="I8" s="78">
        <f t="shared" si="1"/>
        <v>0</v>
      </c>
      <c r="J8" s="250">
        <f t="shared" si="2"/>
        <v>115154.35</v>
      </c>
      <c r="L8" s="81" t="s">
        <v>254</v>
      </c>
      <c r="M8" s="82">
        <f t="shared" si="3"/>
        <v>12374344.605654748</v>
      </c>
      <c r="N8" s="82">
        <f t="shared" si="4"/>
        <v>298693.16752575524</v>
      </c>
      <c r="O8" s="82">
        <f t="shared" ref="O8:O18" si="7">SUM(M8:N8)</f>
        <v>12673037.773180503</v>
      </c>
      <c r="Q8" s="81" t="s">
        <v>254</v>
      </c>
      <c r="R8" s="82">
        <f t="shared" si="5"/>
        <v>12332664.17</v>
      </c>
      <c r="S8" s="82">
        <f t="shared" si="6"/>
        <v>0</v>
      </c>
      <c r="T8" s="82">
        <f t="shared" ref="T8:T18" si="8">SUM(R8:S8)</f>
        <v>12332664.17</v>
      </c>
    </row>
    <row r="9" spans="2:21" x14ac:dyDescent="0.35">
      <c r="B9" s="75">
        <f t="shared" si="0"/>
        <v>45689</v>
      </c>
      <c r="C9" s="75">
        <v>45658</v>
      </c>
      <c r="D9" s="76" t="s">
        <v>268</v>
      </c>
      <c r="E9" s="76"/>
      <c r="F9" s="77">
        <v>45705</v>
      </c>
      <c r="G9" s="82">
        <v>110590.41</v>
      </c>
      <c r="H9" s="76">
        <v>1</v>
      </c>
      <c r="I9" s="78">
        <f t="shared" si="1"/>
        <v>0</v>
      </c>
      <c r="J9" s="250">
        <f t="shared" si="2"/>
        <v>110590.41</v>
      </c>
      <c r="L9" s="81" t="s">
        <v>255</v>
      </c>
      <c r="M9" s="82">
        <f t="shared" si="3"/>
        <v>12394542.095654748</v>
      </c>
      <c r="N9" s="82">
        <f t="shared" si="4"/>
        <v>228492.14407918442</v>
      </c>
      <c r="O9" s="82">
        <f t="shared" si="7"/>
        <v>12623034.239733933</v>
      </c>
      <c r="Q9" s="81" t="s">
        <v>255</v>
      </c>
      <c r="R9" s="82">
        <f t="shared" si="5"/>
        <v>0</v>
      </c>
      <c r="S9" s="82">
        <f t="shared" si="6"/>
        <v>0</v>
      </c>
      <c r="T9" s="82">
        <f t="shared" si="8"/>
        <v>0</v>
      </c>
    </row>
    <row r="10" spans="2:21" x14ac:dyDescent="0.35">
      <c r="B10" s="75">
        <f t="shared" si="0"/>
        <v>45839</v>
      </c>
      <c r="C10" s="75">
        <v>45658</v>
      </c>
      <c r="D10" s="76" t="s">
        <v>306</v>
      </c>
      <c r="E10" s="76">
        <v>1</v>
      </c>
      <c r="F10" s="77">
        <v>45853</v>
      </c>
      <c r="G10" s="82">
        <v>2466.8600000000006</v>
      </c>
      <c r="H10" s="76">
        <v>1.0282762000000001</v>
      </c>
      <c r="I10" s="78">
        <f t="shared" si="1"/>
        <v>69.753426732000207</v>
      </c>
      <c r="J10" s="250">
        <f t="shared" si="2"/>
        <v>2536.6134267320008</v>
      </c>
      <c r="L10" s="81" t="s">
        <v>256</v>
      </c>
      <c r="M10" s="82">
        <f t="shared" si="3"/>
        <v>13144274.355654748</v>
      </c>
      <c r="N10" s="82">
        <f t="shared" si="4"/>
        <v>184997.7749912258</v>
      </c>
      <c r="O10" s="82">
        <f t="shared" ref="O10" si="9">SUM(M10:N10)</f>
        <v>13329272.130645974</v>
      </c>
      <c r="Q10" s="81" t="s">
        <v>256</v>
      </c>
      <c r="R10" s="82">
        <f t="shared" si="5"/>
        <v>0</v>
      </c>
      <c r="S10" s="82">
        <f t="shared" si="6"/>
        <v>0</v>
      </c>
      <c r="T10" s="82">
        <f t="shared" ref="T10:T11" si="10">SUM(R10:S10)</f>
        <v>0</v>
      </c>
    </row>
    <row r="11" spans="2:21" x14ac:dyDescent="0.35">
      <c r="B11" s="75">
        <f t="shared" si="0"/>
        <v>45839</v>
      </c>
      <c r="C11" s="75">
        <v>45658</v>
      </c>
      <c r="D11" s="76" t="s">
        <v>305</v>
      </c>
      <c r="E11" s="76">
        <v>1</v>
      </c>
      <c r="F11" s="77">
        <v>45853</v>
      </c>
      <c r="G11" s="82">
        <v>2369.0899999999965</v>
      </c>
      <c r="H11" s="76">
        <v>1.0282762000000001</v>
      </c>
      <c r="I11" s="78">
        <f t="shared" si="1"/>
        <v>66.988862658000016</v>
      </c>
      <c r="J11" s="250">
        <f t="shared" si="2"/>
        <v>2436.0788626579965</v>
      </c>
      <c r="L11" s="81" t="s">
        <v>257</v>
      </c>
      <c r="M11" s="82">
        <f t="shared" si="3"/>
        <v>13334549.304973498</v>
      </c>
      <c r="N11" s="82">
        <f t="shared" si="4"/>
        <v>152608.58297569913</v>
      </c>
      <c r="O11" s="82">
        <f t="shared" ref="O11" si="11">SUM(M11:N11)</f>
        <v>13487157.887949197</v>
      </c>
      <c r="Q11" s="81" t="s">
        <v>257</v>
      </c>
      <c r="R11" s="82">
        <f t="shared" si="5"/>
        <v>0</v>
      </c>
      <c r="S11" s="82">
        <f t="shared" si="6"/>
        <v>0</v>
      </c>
      <c r="T11" s="82">
        <f t="shared" si="10"/>
        <v>0</v>
      </c>
    </row>
    <row r="12" spans="2:21" x14ac:dyDescent="0.35">
      <c r="B12" s="75">
        <f t="shared" si="0"/>
        <v>45839</v>
      </c>
      <c r="C12" s="75">
        <v>45658</v>
      </c>
      <c r="D12" s="76" t="s">
        <v>273</v>
      </c>
      <c r="E12" s="76">
        <v>1</v>
      </c>
      <c r="F12" s="77">
        <v>45853</v>
      </c>
      <c r="G12" s="82">
        <v>267425.19999999925</v>
      </c>
      <c r="H12" s="76">
        <v>1.0282762000000001</v>
      </c>
      <c r="I12" s="78">
        <f t="shared" si="1"/>
        <v>7561.7684402400046</v>
      </c>
      <c r="J12" s="250">
        <f t="shared" si="2"/>
        <v>274986.96844023926</v>
      </c>
      <c r="L12" s="81" t="s">
        <v>258</v>
      </c>
      <c r="M12" s="82">
        <f t="shared" si="3"/>
        <v>13831074.404973498</v>
      </c>
      <c r="N12" s="82">
        <f t="shared" si="4"/>
        <v>0</v>
      </c>
      <c r="O12" s="82">
        <f t="shared" si="7"/>
        <v>13831074.404973498</v>
      </c>
      <c r="Q12" s="81" t="s">
        <v>258</v>
      </c>
      <c r="R12" s="82">
        <f t="shared" si="5"/>
        <v>0</v>
      </c>
      <c r="S12" s="82">
        <f t="shared" si="6"/>
        <v>0</v>
      </c>
      <c r="T12" s="82">
        <f t="shared" si="8"/>
        <v>0</v>
      </c>
    </row>
    <row r="13" spans="2:21" x14ac:dyDescent="0.35">
      <c r="B13" s="75">
        <f t="shared" si="0"/>
        <v>45839</v>
      </c>
      <c r="C13" s="75">
        <v>45809</v>
      </c>
      <c r="D13" s="76" t="s">
        <v>267</v>
      </c>
      <c r="E13" s="76"/>
      <c r="F13" s="77">
        <v>45853</v>
      </c>
      <c r="G13" s="105">
        <v>13320543.804973498</v>
      </c>
      <c r="H13" s="76">
        <v>1</v>
      </c>
      <c r="I13" s="78">
        <f t="shared" si="1"/>
        <v>0</v>
      </c>
      <c r="J13" s="250">
        <f t="shared" si="2"/>
        <v>13320543.804973498</v>
      </c>
      <c r="L13" s="81" t="s">
        <v>259</v>
      </c>
      <c r="M13" s="82">
        <f t="shared" si="3"/>
        <v>14047804.604973497</v>
      </c>
      <c r="N13" s="82">
        <f t="shared" si="4"/>
        <v>0</v>
      </c>
      <c r="O13" s="82">
        <f t="shared" si="7"/>
        <v>14047804.604973497</v>
      </c>
      <c r="Q13" s="81" t="s">
        <v>259</v>
      </c>
      <c r="R13" s="82">
        <f t="shared" si="5"/>
        <v>14103335.554973496</v>
      </c>
      <c r="S13" s="82">
        <f t="shared" si="6"/>
        <v>7698.5107296300048</v>
      </c>
      <c r="T13" s="82">
        <f t="shared" si="8"/>
        <v>14111034.065703126</v>
      </c>
    </row>
    <row r="14" spans="2:21" x14ac:dyDescent="0.35">
      <c r="B14" s="75">
        <f t="shared" si="0"/>
        <v>45839</v>
      </c>
      <c r="C14" s="75">
        <v>45809</v>
      </c>
      <c r="D14" s="76" t="s">
        <v>268</v>
      </c>
      <c r="E14" s="76"/>
      <c r="F14" s="77">
        <v>45853</v>
      </c>
      <c r="G14" s="105">
        <v>13105.2</v>
      </c>
      <c r="H14" s="76">
        <v>1</v>
      </c>
      <c r="I14" s="78">
        <f t="shared" si="1"/>
        <v>0</v>
      </c>
      <c r="J14" s="250">
        <f t="shared" si="2"/>
        <v>13105.2</v>
      </c>
      <c r="L14" s="81" t="s">
        <v>260</v>
      </c>
      <c r="M14" s="82">
        <f t="shared" si="3"/>
        <v>13646994.664973497</v>
      </c>
      <c r="N14" s="82">
        <f t="shared" si="4"/>
        <v>0</v>
      </c>
      <c r="O14" s="82">
        <f t="shared" si="7"/>
        <v>13646994.664973497</v>
      </c>
      <c r="Q14" s="81" t="s">
        <v>260</v>
      </c>
      <c r="R14" s="82">
        <f t="shared" si="5"/>
        <v>14047804.604973497</v>
      </c>
      <c r="S14" s="82">
        <f t="shared" si="6"/>
        <v>0</v>
      </c>
      <c r="T14" s="82">
        <f t="shared" si="8"/>
        <v>14047804.604973497</v>
      </c>
    </row>
    <row r="15" spans="2:21" x14ac:dyDescent="0.35">
      <c r="B15" s="75">
        <f t="shared" si="0"/>
        <v>45839</v>
      </c>
      <c r="C15" s="75">
        <v>45809</v>
      </c>
      <c r="D15" s="76" t="s">
        <v>304</v>
      </c>
      <c r="E15" s="76"/>
      <c r="F15" s="77">
        <v>45853</v>
      </c>
      <c r="G15" s="105">
        <v>497425.4</v>
      </c>
      <c r="H15" s="76">
        <v>1</v>
      </c>
      <c r="I15" s="78">
        <f t="shared" si="1"/>
        <v>0</v>
      </c>
      <c r="J15" s="250">
        <f t="shared" si="2"/>
        <v>497425.4</v>
      </c>
      <c r="L15" s="81" t="s">
        <v>261</v>
      </c>
      <c r="M15" s="82">
        <f t="shared" si="3"/>
        <v>14465190.664973497</v>
      </c>
      <c r="N15" s="82">
        <f t="shared" si="4"/>
        <v>-3759.2891639993759</v>
      </c>
      <c r="O15" s="82">
        <f t="shared" si="7"/>
        <v>14461431.375809498</v>
      </c>
      <c r="Q15" s="81" t="s">
        <v>261</v>
      </c>
      <c r="R15" s="82">
        <f t="shared" si="5"/>
        <v>13646994.664973497</v>
      </c>
      <c r="S15" s="82">
        <f t="shared" si="6"/>
        <v>0</v>
      </c>
      <c r="T15" s="82">
        <f t="shared" si="8"/>
        <v>13646994.664973497</v>
      </c>
    </row>
    <row r="16" spans="2:21" x14ac:dyDescent="0.35">
      <c r="B16" s="75">
        <v>45870</v>
      </c>
      <c r="C16" s="75">
        <v>45839</v>
      </c>
      <c r="D16" s="76" t="s">
        <v>267</v>
      </c>
      <c r="E16" s="76"/>
      <c r="F16" s="77">
        <v>45884</v>
      </c>
      <c r="G16" s="105">
        <v>13320543.804973498</v>
      </c>
      <c r="H16" s="76">
        <v>1</v>
      </c>
      <c r="I16" s="78">
        <f t="shared" si="1"/>
        <v>0</v>
      </c>
      <c r="J16" s="250">
        <f t="shared" si="2"/>
        <v>13320543.804973498</v>
      </c>
      <c r="L16" s="81" t="s">
        <v>262</v>
      </c>
      <c r="M16" s="82">
        <f t="shared" si="3"/>
        <v>13320543.804973498</v>
      </c>
      <c r="N16" s="82">
        <f t="shared" si="4"/>
        <v>0</v>
      </c>
      <c r="O16" s="82">
        <f t="shared" si="7"/>
        <v>13320543.804973498</v>
      </c>
      <c r="Q16" s="81" t="s">
        <v>262</v>
      </c>
      <c r="R16" s="82">
        <f t="shared" si="5"/>
        <v>18103031.484973498</v>
      </c>
      <c r="S16" s="82">
        <f t="shared" si="6"/>
        <v>0</v>
      </c>
      <c r="T16" s="82">
        <f t="shared" si="8"/>
        <v>18103031.484973498</v>
      </c>
    </row>
    <row r="17" spans="2:20" x14ac:dyDescent="0.35">
      <c r="B17" s="75">
        <v>45870</v>
      </c>
      <c r="C17" s="75">
        <v>45839</v>
      </c>
      <c r="D17" s="76" t="s">
        <v>268</v>
      </c>
      <c r="E17" s="76"/>
      <c r="F17" s="77">
        <v>45884</v>
      </c>
      <c r="G17" s="105">
        <f>'Carvão &amp; Total'!M12</f>
        <v>271068.59999999998</v>
      </c>
      <c r="H17" s="76">
        <v>1</v>
      </c>
      <c r="I17" s="78">
        <f t="shared" si="1"/>
        <v>0</v>
      </c>
      <c r="J17" s="250">
        <f t="shared" si="2"/>
        <v>271068.59999999998</v>
      </c>
      <c r="L17" s="81" t="s">
        <v>250</v>
      </c>
      <c r="M17" s="82">
        <f t="shared" si="3"/>
        <v>13320543.804973498</v>
      </c>
      <c r="N17" s="82">
        <f t="shared" si="4"/>
        <v>-20148.254247000441</v>
      </c>
      <c r="O17" s="82">
        <f t="shared" si="7"/>
        <v>13300395.550726498</v>
      </c>
      <c r="Q17" s="81" t="s">
        <v>250</v>
      </c>
      <c r="R17" s="82">
        <f t="shared" si="5"/>
        <v>9682702.9849734958</v>
      </c>
      <c r="S17" s="82">
        <f t="shared" si="6"/>
        <v>-3759.2891639993759</v>
      </c>
      <c r="T17" s="82">
        <f t="shared" si="8"/>
        <v>9678943.6958094966</v>
      </c>
    </row>
    <row r="18" spans="2:20" x14ac:dyDescent="0.35">
      <c r="B18" s="75">
        <v>45870</v>
      </c>
      <c r="C18" s="75">
        <v>45839</v>
      </c>
      <c r="D18" s="76" t="s">
        <v>304</v>
      </c>
      <c r="E18" s="76"/>
      <c r="F18" s="77">
        <v>45884</v>
      </c>
      <c r="G18" s="105">
        <f>'Carvão &amp; Total'!L12</f>
        <v>456192.2</v>
      </c>
      <c r="H18" s="76">
        <v>1</v>
      </c>
      <c r="I18" s="78">
        <f t="shared" si="1"/>
        <v>0</v>
      </c>
      <c r="J18" s="250">
        <f t="shared" si="2"/>
        <v>456192.2</v>
      </c>
      <c r="L18" s="81" t="s">
        <v>263</v>
      </c>
      <c r="M18" s="82">
        <f t="shared" si="3"/>
        <v>14132789.874973498</v>
      </c>
      <c r="N18" s="82">
        <f t="shared" si="4"/>
        <v>-3548.6738430000842</v>
      </c>
      <c r="O18" s="82">
        <f t="shared" si="7"/>
        <v>14129241.201130498</v>
      </c>
      <c r="Q18" s="81" t="s">
        <v>263</v>
      </c>
      <c r="R18" s="82">
        <f t="shared" si="5"/>
        <v>72672649.466911256</v>
      </c>
      <c r="S18" s="82">
        <f t="shared" si="6"/>
        <v>892709.4611314463</v>
      </c>
      <c r="T18" s="82">
        <f t="shared" si="8"/>
        <v>73565358.92804271</v>
      </c>
    </row>
    <row r="19" spans="2:20" ht="15" thickBot="1" x14ac:dyDescent="0.4">
      <c r="B19" s="75">
        <v>45901</v>
      </c>
      <c r="C19" s="75">
        <v>45870</v>
      </c>
      <c r="D19" s="76" t="s">
        <v>267</v>
      </c>
      <c r="E19" s="76"/>
      <c r="F19" s="77">
        <v>45915</v>
      </c>
      <c r="G19" s="105">
        <f>'Carvão &amp; Total'!K13</f>
        <v>13320543.804973498</v>
      </c>
      <c r="H19" s="76">
        <v>1</v>
      </c>
      <c r="I19" s="78">
        <f t="shared" si="1"/>
        <v>0</v>
      </c>
      <c r="J19" s="250">
        <f t="shared" si="2"/>
        <v>13320543.804973498</v>
      </c>
      <c r="L19" s="83" t="s">
        <v>88</v>
      </c>
      <c r="M19" s="84">
        <f>SUM(M7:M18)</f>
        <v>160617577.50675222</v>
      </c>
      <c r="N19" s="84">
        <f t="shared" ref="N19:O19" si="12">SUM(N7:N18)</f>
        <v>845033.96304749465</v>
      </c>
      <c r="O19" s="85">
        <f t="shared" si="12"/>
        <v>161462611.46979973</v>
      </c>
      <c r="Q19" s="83" t="s">
        <v>88</v>
      </c>
      <c r="R19" s="84">
        <f>SUM(R7:R18)</f>
        <v>154589182.93177873</v>
      </c>
      <c r="S19" s="84">
        <f t="shared" ref="S19:T19" si="13">SUM(S7:S18)</f>
        <v>896648.68269707693</v>
      </c>
      <c r="T19" s="85">
        <f t="shared" si="13"/>
        <v>155485831.61447585</v>
      </c>
    </row>
    <row r="20" spans="2:20" ht="15" thickTop="1" x14ac:dyDescent="0.35">
      <c r="B20" s="75">
        <v>45901</v>
      </c>
      <c r="C20" s="75">
        <v>45870</v>
      </c>
      <c r="D20" s="76" t="s">
        <v>304</v>
      </c>
      <c r="E20" s="76"/>
      <c r="F20" s="77">
        <v>45915</v>
      </c>
      <c r="G20" s="105">
        <f>'Carvão &amp; Total'!L13</f>
        <v>243690.86</v>
      </c>
      <c r="H20" s="76">
        <v>1</v>
      </c>
      <c r="I20" s="78">
        <f t="shared" si="1"/>
        <v>0</v>
      </c>
      <c r="J20" s="250">
        <f t="shared" si="2"/>
        <v>243690.86</v>
      </c>
      <c r="T20" s="3"/>
    </row>
    <row r="21" spans="2:20" x14ac:dyDescent="0.35">
      <c r="B21" s="75">
        <v>45901</v>
      </c>
      <c r="C21" s="75">
        <v>45870</v>
      </c>
      <c r="D21" s="76" t="s">
        <v>268</v>
      </c>
      <c r="E21" s="76"/>
      <c r="F21" s="77">
        <v>45915</v>
      </c>
      <c r="G21" s="105">
        <f>'Carvão &amp; Total'!M13</f>
        <v>82760</v>
      </c>
      <c r="H21" s="76">
        <v>1</v>
      </c>
      <c r="I21" s="78">
        <f t="shared" si="1"/>
        <v>0</v>
      </c>
      <c r="J21" s="250">
        <f t="shared" si="2"/>
        <v>82760</v>
      </c>
      <c r="T21" s="39"/>
    </row>
    <row r="22" spans="2:20" x14ac:dyDescent="0.35">
      <c r="B22" s="75">
        <v>45931</v>
      </c>
      <c r="C22" s="75">
        <v>45901</v>
      </c>
      <c r="D22" s="76" t="s">
        <v>267</v>
      </c>
      <c r="E22" s="76"/>
      <c r="F22" s="77">
        <v>45945</v>
      </c>
      <c r="G22" s="250">
        <v>13320543.804973498</v>
      </c>
      <c r="H22" s="76">
        <v>1</v>
      </c>
      <c r="I22" s="78">
        <f t="shared" si="1"/>
        <v>0</v>
      </c>
      <c r="J22" s="250">
        <f t="shared" si="2"/>
        <v>13320543.804973498</v>
      </c>
      <c r="T22" s="39"/>
    </row>
    <row r="23" spans="2:20" x14ac:dyDescent="0.35">
      <c r="B23" s="75">
        <v>45931</v>
      </c>
      <c r="C23" s="75">
        <v>45901</v>
      </c>
      <c r="D23" s="76" t="s">
        <v>304</v>
      </c>
      <c r="E23" s="76"/>
      <c r="F23" s="77">
        <v>45945</v>
      </c>
      <c r="G23" s="250">
        <v>3708253.96</v>
      </c>
      <c r="H23" s="76">
        <v>1</v>
      </c>
      <c r="I23" s="78">
        <f t="shared" si="1"/>
        <v>0</v>
      </c>
      <c r="J23" s="250">
        <f t="shared" si="2"/>
        <v>3708253.96</v>
      </c>
      <c r="T23" s="39"/>
    </row>
    <row r="24" spans="2:20" x14ac:dyDescent="0.35">
      <c r="B24" s="75">
        <v>45931</v>
      </c>
      <c r="C24" s="75">
        <v>45901</v>
      </c>
      <c r="D24" s="76" t="s">
        <v>268</v>
      </c>
      <c r="E24" s="76"/>
      <c r="F24" s="77">
        <v>45945</v>
      </c>
      <c r="G24" s="250">
        <v>1074233.72</v>
      </c>
      <c r="H24" s="76">
        <v>1</v>
      </c>
      <c r="I24" s="78">
        <f t="shared" si="1"/>
        <v>0</v>
      </c>
      <c r="J24" s="250">
        <f t="shared" si="2"/>
        <v>1074233.72</v>
      </c>
      <c r="O24" s="11"/>
      <c r="P24" s="65"/>
    </row>
    <row r="25" spans="2:20" x14ac:dyDescent="0.35">
      <c r="B25" s="75">
        <v>45962</v>
      </c>
      <c r="C25" s="75">
        <v>45931</v>
      </c>
      <c r="D25" s="76" t="s">
        <v>267</v>
      </c>
      <c r="E25" s="76"/>
      <c r="F25" s="77">
        <v>45978</v>
      </c>
      <c r="G25" s="117">
        <v>13320543.804973498</v>
      </c>
      <c r="H25" s="76">
        <v>1</v>
      </c>
      <c r="I25" s="78">
        <f t="shared" si="1"/>
        <v>0</v>
      </c>
      <c r="J25" s="250">
        <f t="shared" si="2"/>
        <v>13320543.804973498</v>
      </c>
      <c r="O25" s="11"/>
      <c r="P25" s="65"/>
    </row>
    <row r="26" spans="2:20" x14ac:dyDescent="0.35">
      <c r="B26" s="75">
        <v>45962</v>
      </c>
      <c r="C26" s="75">
        <v>45901</v>
      </c>
      <c r="D26" s="76" t="s">
        <v>304</v>
      </c>
      <c r="E26" s="76"/>
      <c r="F26" s="77">
        <v>45978</v>
      </c>
      <c r="G26" s="82">
        <v>451888.6</v>
      </c>
      <c r="H26" s="76">
        <v>1</v>
      </c>
      <c r="I26" s="78">
        <f t="shared" si="1"/>
        <v>0</v>
      </c>
      <c r="J26" s="250">
        <f t="shared" si="2"/>
        <v>451888.6</v>
      </c>
      <c r="O26" s="11"/>
      <c r="P26" s="65"/>
    </row>
    <row r="27" spans="2:20" x14ac:dyDescent="0.35">
      <c r="B27" s="75">
        <v>45962</v>
      </c>
      <c r="C27" s="75">
        <v>45901</v>
      </c>
      <c r="D27" s="76" t="s">
        <v>268</v>
      </c>
      <c r="E27" s="76"/>
      <c r="F27" s="77">
        <v>45978</v>
      </c>
      <c r="G27" s="343">
        <v>87258.54</v>
      </c>
      <c r="H27" s="76">
        <v>1</v>
      </c>
      <c r="I27" s="78">
        <f t="shared" si="1"/>
        <v>0</v>
      </c>
      <c r="J27" s="250">
        <f t="shared" si="2"/>
        <v>87258.54</v>
      </c>
      <c r="O27" s="11"/>
      <c r="P27" s="65"/>
    </row>
    <row r="28" spans="2:20" x14ac:dyDescent="0.35">
      <c r="B28" s="75">
        <v>45962</v>
      </c>
      <c r="C28" s="75">
        <v>45901</v>
      </c>
      <c r="D28" s="76" t="s">
        <v>306</v>
      </c>
      <c r="E28" s="76">
        <v>1</v>
      </c>
      <c r="F28" s="77">
        <v>45978</v>
      </c>
      <c r="G28" s="80">
        <f>Reprocessamentos!I13</f>
        <v>-3278302.48</v>
      </c>
      <c r="H28" s="76">
        <v>1.0008999999999999</v>
      </c>
      <c r="I28" s="78">
        <f t="shared" si="1"/>
        <v>-2950.4722319995053</v>
      </c>
      <c r="J28" s="78">
        <f t="shared" si="2"/>
        <v>-3281252.9522319995</v>
      </c>
      <c r="K28" s="187"/>
      <c r="O28" s="11"/>
      <c r="P28" s="65"/>
    </row>
    <row r="29" spans="2:20" x14ac:dyDescent="0.35">
      <c r="B29" s="75">
        <v>45962</v>
      </c>
      <c r="C29" s="75">
        <v>45901</v>
      </c>
      <c r="D29" s="76" t="s">
        <v>305</v>
      </c>
      <c r="E29" s="76">
        <v>1</v>
      </c>
      <c r="F29" s="77">
        <v>45978</v>
      </c>
      <c r="G29" s="80">
        <f>Reprocessamentos!I14</f>
        <v>-898685.48</v>
      </c>
      <c r="H29" s="76">
        <v>1.0008999999999999</v>
      </c>
      <c r="I29" s="78">
        <f t="shared" si="1"/>
        <v>-808.81693199987058</v>
      </c>
      <c r="J29" s="250">
        <f t="shared" si="2"/>
        <v>-899494.29693199985</v>
      </c>
      <c r="O29" s="11"/>
      <c r="P29" s="65"/>
    </row>
    <row r="30" spans="2:20" x14ac:dyDescent="0.35">
      <c r="B30" s="336">
        <v>45992</v>
      </c>
      <c r="C30" s="336">
        <v>45689</v>
      </c>
      <c r="D30" s="337" t="s">
        <v>320</v>
      </c>
      <c r="E30" s="338"/>
      <c r="F30" s="339">
        <v>46006</v>
      </c>
      <c r="G30" s="340">
        <v>12374344.605654748</v>
      </c>
      <c r="H30" s="337">
        <v>1.0241381000000001</v>
      </c>
      <c r="I30" s="341">
        <v>298693.16752575524</v>
      </c>
      <c r="J30" s="342">
        <v>12673037.773180503</v>
      </c>
    </row>
    <row r="31" spans="2:20" x14ac:dyDescent="0.35">
      <c r="B31" s="336">
        <v>45992</v>
      </c>
      <c r="C31" s="336">
        <v>45717</v>
      </c>
      <c r="D31" s="337" t="s">
        <v>320</v>
      </c>
      <c r="E31" s="337"/>
      <c r="F31" s="339">
        <v>46006</v>
      </c>
      <c r="G31" s="340">
        <v>12374344.605654748</v>
      </c>
      <c r="H31" s="337">
        <v>1.0184348999999999</v>
      </c>
      <c r="I31" s="341">
        <v>228119.80537078343</v>
      </c>
      <c r="J31" s="341">
        <v>12602464.411025532</v>
      </c>
    </row>
    <row r="32" spans="2:20" x14ac:dyDescent="0.35">
      <c r="B32" s="336">
        <v>45992</v>
      </c>
      <c r="C32" s="336">
        <v>45748</v>
      </c>
      <c r="D32" s="337" t="s">
        <v>320</v>
      </c>
      <c r="E32" s="337"/>
      <c r="F32" s="339">
        <v>46006</v>
      </c>
      <c r="G32" s="340">
        <v>12374344.605654748</v>
      </c>
      <c r="H32" s="337">
        <v>1.0140743999999999</v>
      </c>
      <c r="I32" s="341">
        <v>174161.47571782582</v>
      </c>
      <c r="J32" s="342">
        <v>12548506.081372574</v>
      </c>
    </row>
    <row r="33" spans="2:10" x14ac:dyDescent="0.35">
      <c r="B33" s="336">
        <v>45992</v>
      </c>
      <c r="C33" s="336">
        <v>45778</v>
      </c>
      <c r="D33" s="337" t="s">
        <v>320</v>
      </c>
      <c r="E33" s="337"/>
      <c r="F33" s="339">
        <v>46006</v>
      </c>
      <c r="G33" s="340">
        <v>13320543.804973498</v>
      </c>
      <c r="H33" s="337">
        <v>1.0114445999999999</v>
      </c>
      <c r="I33" s="341">
        <v>152448.29563039914</v>
      </c>
      <c r="J33" s="342">
        <v>13472992.100603897</v>
      </c>
    </row>
    <row r="34" spans="2:10" x14ac:dyDescent="0.35">
      <c r="B34" s="336">
        <v>45992</v>
      </c>
      <c r="C34" s="336">
        <v>45751</v>
      </c>
      <c r="D34" s="337" t="s">
        <v>322</v>
      </c>
      <c r="E34" s="337"/>
      <c r="F34" s="339">
        <v>46006</v>
      </c>
      <c r="G34" s="342">
        <v>1917102.42</v>
      </c>
      <c r="H34" s="337">
        <v>1.0140743999999999</v>
      </c>
      <c r="I34" s="341">
        <v>26982.066300047794</v>
      </c>
      <c r="J34" s="341">
        <v>1944084.4863000477</v>
      </c>
    </row>
    <row r="35" spans="2:10" x14ac:dyDescent="0.35">
      <c r="B35" s="336">
        <v>45992</v>
      </c>
      <c r="C35" s="336">
        <v>45781</v>
      </c>
      <c r="D35" s="337" t="s">
        <v>322</v>
      </c>
      <c r="E35" s="337"/>
      <c r="F35" s="339">
        <v>46006</v>
      </c>
      <c r="G35" s="342">
        <v>81761.289999999994</v>
      </c>
      <c r="H35" s="337">
        <v>1.0114445999999999</v>
      </c>
      <c r="I35" s="341">
        <v>935.725259533996</v>
      </c>
      <c r="J35" s="342">
        <v>82697.015259534004</v>
      </c>
    </row>
    <row r="36" spans="2:10" x14ac:dyDescent="0.35">
      <c r="B36" s="336">
        <v>45992</v>
      </c>
      <c r="C36" s="336">
        <v>45717</v>
      </c>
      <c r="D36" s="337" t="s">
        <v>323</v>
      </c>
      <c r="E36" s="337"/>
      <c r="F36" s="339">
        <v>46006</v>
      </c>
      <c r="G36" s="342">
        <v>20197.490000000002</v>
      </c>
      <c r="H36" s="337">
        <v>1.0184348999999999</v>
      </c>
      <c r="I36" s="341">
        <v>372.33870840099917</v>
      </c>
      <c r="J36" s="342">
        <v>20569.828708401001</v>
      </c>
    </row>
    <row r="37" spans="2:10" x14ac:dyDescent="0.35">
      <c r="B37" s="336">
        <v>45992</v>
      </c>
      <c r="C37" s="336">
        <v>45748</v>
      </c>
      <c r="D37" s="337" t="s">
        <v>323</v>
      </c>
      <c r="E37" s="337"/>
      <c r="F37" s="339">
        <v>46006</v>
      </c>
      <c r="G37" s="342">
        <v>769929.75</v>
      </c>
      <c r="H37" s="337">
        <v>1.0140743999999999</v>
      </c>
      <c r="I37" s="341">
        <v>10836.299273399985</v>
      </c>
      <c r="J37" s="341">
        <v>780766.04927339999</v>
      </c>
    </row>
    <row r="38" spans="2:10" ht="15" customHeight="1" x14ac:dyDescent="0.35">
      <c r="B38" s="336">
        <v>45992</v>
      </c>
      <c r="C38" s="336">
        <v>45778</v>
      </c>
      <c r="D38" s="337" t="s">
        <v>323</v>
      </c>
      <c r="E38" s="337"/>
      <c r="F38" s="339">
        <v>46006</v>
      </c>
      <c r="G38" s="342">
        <v>14005.5</v>
      </c>
      <c r="H38" s="337">
        <v>1.0114445999999999</v>
      </c>
      <c r="I38" s="341">
        <v>160.28734529999929</v>
      </c>
      <c r="J38" s="342">
        <v>14165.787345299999</v>
      </c>
    </row>
    <row r="39" spans="2:10" x14ac:dyDescent="0.35">
      <c r="B39" s="336">
        <v>45992</v>
      </c>
      <c r="C39" s="336">
        <v>45962</v>
      </c>
      <c r="D39" s="337" t="s">
        <v>267</v>
      </c>
      <c r="E39" s="337"/>
      <c r="F39" s="339">
        <v>46006</v>
      </c>
      <c r="G39" s="342">
        <v>13320543.804973498</v>
      </c>
      <c r="H39" s="337">
        <v>1</v>
      </c>
      <c r="I39" s="341">
        <v>0</v>
      </c>
      <c r="J39" s="342">
        <v>13320543.804973498</v>
      </c>
    </row>
    <row r="40" spans="2:10" x14ac:dyDescent="0.35">
      <c r="B40" s="336">
        <v>45992</v>
      </c>
      <c r="C40" s="336">
        <v>45962</v>
      </c>
      <c r="D40" s="337" t="s">
        <v>304</v>
      </c>
      <c r="E40" s="337"/>
      <c r="F40" s="339">
        <v>46006</v>
      </c>
      <c r="G40" s="342">
        <v>4935643.3</v>
      </c>
      <c r="H40" s="337">
        <v>1</v>
      </c>
      <c r="I40" s="341">
        <v>0</v>
      </c>
      <c r="J40" s="341">
        <v>4935643.3</v>
      </c>
    </row>
    <row r="41" spans="2:10" x14ac:dyDescent="0.35">
      <c r="B41" s="336">
        <v>45992</v>
      </c>
      <c r="C41" s="336">
        <v>45962</v>
      </c>
      <c r="D41" s="337" t="s">
        <v>268</v>
      </c>
      <c r="E41" s="337"/>
      <c r="F41" s="339">
        <v>46006</v>
      </c>
      <c r="G41" s="342">
        <v>1169888.29</v>
      </c>
      <c r="H41" s="337">
        <v>1</v>
      </c>
      <c r="I41" s="341">
        <v>0</v>
      </c>
      <c r="J41" s="342">
        <v>1169888.29</v>
      </c>
    </row>
    <row r="42" spans="2:10" x14ac:dyDescent="0.35">
      <c r="B42" s="336">
        <v>46023</v>
      </c>
      <c r="C42" s="336">
        <v>45781</v>
      </c>
      <c r="D42" s="337" t="s">
        <v>324</v>
      </c>
      <c r="E42" s="337"/>
      <c r="F42" s="339">
        <v>46037</v>
      </c>
      <c r="G42" s="344">
        <v>-82697.015259534004</v>
      </c>
      <c r="H42" s="337">
        <v>1.0033000000000001</v>
      </c>
      <c r="I42" s="345">
        <f>(G42*H42)-G42</f>
        <v>-272.90015035646502</v>
      </c>
      <c r="J42" s="345">
        <f>I42+G42</f>
        <v>-82969.915409890469</v>
      </c>
    </row>
    <row r="43" spans="2:10" x14ac:dyDescent="0.35">
      <c r="B43" s="75">
        <f t="shared" ref="B43:B45" si="14">DATE(YEAR(F43),MONTH(F43),1)</f>
        <v>46023</v>
      </c>
      <c r="C43" s="75">
        <v>45992</v>
      </c>
      <c r="D43" s="337" t="s">
        <v>267</v>
      </c>
      <c r="E43" s="76"/>
      <c r="F43" s="339">
        <v>46037</v>
      </c>
      <c r="G43" s="78">
        <v>13320543.804973498</v>
      </c>
      <c r="H43" s="361">
        <v>1</v>
      </c>
      <c r="I43" s="362">
        <f t="shared" ref="I43:I44" si="15">(G43*H43)-G43</f>
        <v>0</v>
      </c>
      <c r="J43" s="362">
        <f t="shared" ref="J43:J48" si="16">I43+G43</f>
        <v>13320543.804973498</v>
      </c>
    </row>
    <row r="44" spans="2:10" x14ac:dyDescent="0.35">
      <c r="B44" s="75">
        <f t="shared" si="14"/>
        <v>46023</v>
      </c>
      <c r="C44" s="75">
        <v>45992</v>
      </c>
      <c r="D44" s="337" t="s">
        <v>304</v>
      </c>
      <c r="E44" s="76"/>
      <c r="F44" s="339">
        <v>46037</v>
      </c>
      <c r="G44" s="78">
        <v>1772395.15</v>
      </c>
      <c r="H44" s="361">
        <v>1</v>
      </c>
      <c r="I44" s="362">
        <f t="shared" si="15"/>
        <v>0</v>
      </c>
      <c r="J44" s="362">
        <f t="shared" si="16"/>
        <v>1772395.15</v>
      </c>
    </row>
    <row r="45" spans="2:10" x14ac:dyDescent="0.35">
      <c r="B45" s="75">
        <f t="shared" si="14"/>
        <v>46023</v>
      </c>
      <c r="C45" s="75">
        <v>45992</v>
      </c>
      <c r="D45" s="337" t="s">
        <v>268</v>
      </c>
      <c r="E45" s="76"/>
      <c r="F45" s="339">
        <v>46037</v>
      </c>
      <c r="G45" s="78">
        <v>115206.63</v>
      </c>
      <c r="H45" s="361">
        <v>1</v>
      </c>
      <c r="I45" s="362">
        <f>(G45*H45)-G45</f>
        <v>0</v>
      </c>
      <c r="J45" s="362">
        <f t="shared" si="16"/>
        <v>115206.63</v>
      </c>
    </row>
    <row r="46" spans="2:10" x14ac:dyDescent="0.35">
      <c r="B46" s="352">
        <v>46054</v>
      </c>
      <c r="C46" s="352">
        <v>45962</v>
      </c>
      <c r="D46" s="353" t="s">
        <v>333</v>
      </c>
      <c r="E46" s="353"/>
      <c r="F46" s="354">
        <v>46068</v>
      </c>
      <c r="G46" s="357">
        <v>-1169888.29</v>
      </c>
      <c r="H46" s="353">
        <v>1.0033000000000001</v>
      </c>
      <c r="I46" s="345">
        <f t="shared" ref="I46:I48" si="17">(G46*H46)-G46</f>
        <v>-3860.6313570002094</v>
      </c>
      <c r="J46" s="345">
        <f t="shared" si="16"/>
        <v>-1173748.9213570002</v>
      </c>
    </row>
    <row r="47" spans="2:10" x14ac:dyDescent="0.35">
      <c r="B47" s="352">
        <v>46054</v>
      </c>
      <c r="C47" s="352">
        <v>45962</v>
      </c>
      <c r="D47" s="353" t="s">
        <v>334</v>
      </c>
      <c r="E47" s="353"/>
      <c r="F47" s="354">
        <v>46068</v>
      </c>
      <c r="G47" s="358">
        <v>-4935643.3</v>
      </c>
      <c r="H47" s="353">
        <v>1.0033000000000001</v>
      </c>
      <c r="I47" s="345">
        <f t="shared" si="17"/>
        <v>-16287.622890000232</v>
      </c>
      <c r="J47" s="345">
        <f t="shared" si="16"/>
        <v>-4951930.92289</v>
      </c>
    </row>
    <row r="48" spans="2:10" x14ac:dyDescent="0.35">
      <c r="B48" s="352">
        <v>46054</v>
      </c>
      <c r="C48" s="352">
        <v>45992</v>
      </c>
      <c r="D48" s="353" t="s">
        <v>334</v>
      </c>
      <c r="E48" s="353"/>
      <c r="F48" s="354">
        <v>46068</v>
      </c>
      <c r="G48" s="357">
        <v>-1075355.71</v>
      </c>
      <c r="H48" s="353">
        <v>1.0033000000000001</v>
      </c>
      <c r="I48" s="345">
        <f t="shared" si="17"/>
        <v>-3548.6738430000842</v>
      </c>
      <c r="J48" s="345">
        <f t="shared" si="16"/>
        <v>-1078904.383843</v>
      </c>
    </row>
    <row r="49" spans="2:10" x14ac:dyDescent="0.35">
      <c r="F49" s="11"/>
      <c r="H49" s="11"/>
    </row>
    <row r="50" spans="2:10" x14ac:dyDescent="0.35">
      <c r="B50" s="317" t="s">
        <v>311</v>
      </c>
    </row>
    <row r="51" spans="2:10" x14ac:dyDescent="0.35">
      <c r="B51" t="s">
        <v>321</v>
      </c>
    </row>
    <row r="53" spans="2:10" x14ac:dyDescent="0.35">
      <c r="I53" s="11"/>
    </row>
    <row r="57" spans="2:10" x14ac:dyDescent="0.35">
      <c r="I57"/>
      <c r="J57"/>
    </row>
    <row r="58" spans="2:10" x14ac:dyDescent="0.35">
      <c r="I58"/>
      <c r="J58"/>
    </row>
    <row r="59" spans="2:10" x14ac:dyDescent="0.35">
      <c r="I59"/>
      <c r="J59"/>
    </row>
    <row r="60" spans="2:10" x14ac:dyDescent="0.35">
      <c r="I60"/>
      <c r="J60"/>
    </row>
    <row r="78" spans="5:5" x14ac:dyDescent="0.35">
      <c r="E78" s="11"/>
    </row>
    <row r="79" spans="5:5" x14ac:dyDescent="0.35">
      <c r="E79" s="11"/>
    </row>
    <row r="80" spans="5:5" x14ac:dyDescent="0.35">
      <c r="E80" s="11"/>
    </row>
    <row r="81" spans="5:5" x14ac:dyDescent="0.35">
      <c r="E81" s="68"/>
    </row>
    <row r="82" spans="5:5" x14ac:dyDescent="0.35">
      <c r="E82" s="65"/>
    </row>
  </sheetData>
  <autoFilter ref="B6:J48" xr:uid="{00000000-0009-0000-0000-00000B000000}">
    <sortState xmlns:xlrd2="http://schemas.microsoft.com/office/spreadsheetml/2017/richdata2" ref="B7:J48">
      <sortCondition ref="F6:F48"/>
    </sortState>
  </autoFilter>
  <mergeCells count="4">
    <mergeCell ref="B1:O3"/>
    <mergeCell ref="B5:J5"/>
    <mergeCell ref="L5:O5"/>
    <mergeCell ref="Q5:T5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O10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B1324-1A65-4966-B41B-1B48B1A99735}">
  <sheetPr>
    <tabColor theme="7" tint="0.79998168889431442"/>
  </sheetPr>
  <dimension ref="B2:M53"/>
  <sheetViews>
    <sheetView showGridLines="0" zoomScale="70" zoomScaleNormal="70" workbookViewId="0">
      <selection activeCell="H26" sqref="H26"/>
    </sheetView>
  </sheetViews>
  <sheetFormatPr defaultRowHeight="14.5" x14ac:dyDescent="0.35"/>
  <cols>
    <col min="2" max="2" width="16.26953125" customWidth="1"/>
    <col min="3" max="3" width="20.90625" bestFit="1" customWidth="1"/>
    <col min="4" max="4" width="13.7265625" customWidth="1"/>
    <col min="5" max="5" width="19.1796875" customWidth="1"/>
    <col min="6" max="6" width="20.453125" customWidth="1"/>
    <col min="7" max="7" width="18.81640625" customWidth="1"/>
    <col min="8" max="9" width="16.90625" customWidth="1"/>
    <col min="10" max="10" width="15.36328125" bestFit="1" customWidth="1"/>
    <col min="11" max="11" width="18.54296875" customWidth="1"/>
  </cols>
  <sheetData>
    <row r="2" spans="2:13" ht="38" customHeight="1" x14ac:dyDescent="0.8">
      <c r="F2" s="290" t="s">
        <v>294</v>
      </c>
      <c r="G2" s="290"/>
      <c r="H2" s="290"/>
      <c r="I2" s="291"/>
      <c r="J2" s="292"/>
      <c r="K2" s="292"/>
      <c r="L2" s="292"/>
      <c r="M2" s="292"/>
    </row>
    <row r="3" spans="2:13" ht="14.5" customHeight="1" x14ac:dyDescent="0.35">
      <c r="F3" s="292"/>
      <c r="G3" s="292"/>
      <c r="H3" s="292"/>
      <c r="I3" s="292"/>
      <c r="J3" s="292"/>
      <c r="K3" s="292"/>
      <c r="L3" s="292"/>
      <c r="M3" s="292"/>
    </row>
    <row r="4" spans="2:13" ht="34.5" customHeight="1" x14ac:dyDescent="0.35">
      <c r="F4" s="292"/>
      <c r="G4" s="292"/>
      <c r="H4" s="292"/>
      <c r="I4" s="292"/>
      <c r="K4" s="292"/>
      <c r="L4" s="292"/>
      <c r="M4" s="292"/>
    </row>
    <row r="5" spans="2:13" x14ac:dyDescent="0.35">
      <c r="B5" s="407" t="s">
        <v>5</v>
      </c>
      <c r="C5" s="408"/>
      <c r="D5" s="408"/>
      <c r="E5" s="408"/>
      <c r="F5" s="408"/>
      <c r="G5" s="408"/>
      <c r="H5" s="408"/>
      <c r="I5" s="409"/>
    </row>
    <row r="6" spans="2:13" x14ac:dyDescent="0.35">
      <c r="B6" s="294" t="s">
        <v>3</v>
      </c>
      <c r="C6" s="294"/>
      <c r="D6" s="294"/>
      <c r="E6" s="294"/>
      <c r="F6" s="294"/>
      <c r="G6" s="294"/>
      <c r="H6" s="294"/>
      <c r="I6" s="294"/>
    </row>
    <row r="7" spans="2:13" ht="45.5" customHeight="1" x14ac:dyDescent="0.35">
      <c r="B7" s="169" t="s">
        <v>125</v>
      </c>
      <c r="C7" s="72" t="s">
        <v>124</v>
      </c>
      <c r="D7" s="72" t="s">
        <v>0</v>
      </c>
      <c r="E7" s="93" t="s">
        <v>1</v>
      </c>
      <c r="F7" s="72" t="s">
        <v>2</v>
      </c>
      <c r="G7" s="93" t="s">
        <v>7</v>
      </c>
      <c r="H7" s="72" t="s">
        <v>6</v>
      </c>
      <c r="I7" s="72" t="s">
        <v>295</v>
      </c>
    </row>
    <row r="8" spans="2:13" x14ac:dyDescent="0.35">
      <c r="B8" s="81">
        <v>45809</v>
      </c>
      <c r="C8" s="307">
        <f>Secund!M13</f>
        <v>4.1436400000000004</v>
      </c>
      <c r="D8" s="307">
        <f>Secund!N13</f>
        <v>4.0199999999999996</v>
      </c>
      <c r="E8" s="307">
        <f>Secund!O13</f>
        <v>4.0199999999999996</v>
      </c>
      <c r="F8" s="134">
        <f>1.72496819077798*1000</f>
        <v>1724.96819077798</v>
      </c>
      <c r="G8" s="134">
        <f>E8*F8</f>
        <v>6934.3721269274793</v>
      </c>
      <c r="H8" s="146">
        <v>1</v>
      </c>
      <c r="I8" s="134">
        <f>ROUND(G8*H8,2)</f>
        <v>6934.37</v>
      </c>
    </row>
    <row r="9" spans="2:13" x14ac:dyDescent="0.35">
      <c r="B9" s="81">
        <v>45839</v>
      </c>
      <c r="C9" s="307">
        <f>Secund!M14</f>
        <v>4.5436363636363639</v>
      </c>
      <c r="D9" s="307">
        <f>Secund!N14</f>
        <v>4.0199999999999996</v>
      </c>
      <c r="E9" s="307">
        <f>Secund!O14</f>
        <v>4.0199999999999996</v>
      </c>
      <c r="F9" s="134">
        <f>57.0462132025198*1000</f>
        <v>57046.213202519801</v>
      </c>
      <c r="G9" s="134">
        <f>E9*F9</f>
        <v>229325.77707412958</v>
      </c>
      <c r="H9" s="146">
        <v>1</v>
      </c>
      <c r="I9" s="134">
        <f>ROUND(G9*H9,2)</f>
        <v>229325.78</v>
      </c>
    </row>
    <row r="10" spans="2:13" x14ac:dyDescent="0.35">
      <c r="B10" s="81">
        <v>45870</v>
      </c>
      <c r="C10" s="307">
        <f>Secund!M15</f>
        <v>4.17</v>
      </c>
      <c r="D10" s="307">
        <f>Secund!N15</f>
        <v>4</v>
      </c>
      <c r="E10" s="307">
        <f>Secund!O15</f>
        <v>4</v>
      </c>
      <c r="F10" s="134">
        <f>6.28*1000</f>
        <v>6280</v>
      </c>
      <c r="G10" s="134">
        <f>E10*F10</f>
        <v>25120</v>
      </c>
      <c r="H10" s="146">
        <v>1</v>
      </c>
      <c r="I10" s="134">
        <f>ROUND(G10*H10,2)</f>
        <v>25120</v>
      </c>
    </row>
    <row r="11" spans="2:13" x14ac:dyDescent="0.35">
      <c r="B11" s="81">
        <v>45901</v>
      </c>
      <c r="C11" s="307">
        <f>IFERROR(VLOOKUP(B11,'NF Diesel'!$T$6:$Z$19,2,0),0)</f>
        <v>4.17</v>
      </c>
      <c r="D11" s="307">
        <v>3.9969999999999999</v>
      </c>
      <c r="E11" s="307">
        <f>D11</f>
        <v>3.9969999999999999</v>
      </c>
      <c r="F11" s="134">
        <v>0</v>
      </c>
      <c r="G11" s="134">
        <f t="shared" ref="G11:G14" si="0">E11*F11</f>
        <v>0</v>
      </c>
      <c r="H11" s="146">
        <v>1</v>
      </c>
      <c r="I11" s="134">
        <f t="shared" ref="I11:I14" si="1">ROUND(G11*H11,2)</f>
        <v>0</v>
      </c>
    </row>
    <row r="12" spans="2:13" x14ac:dyDescent="0.35">
      <c r="B12" s="81">
        <v>45931</v>
      </c>
      <c r="C12" s="307">
        <f>IFERROR(VLOOKUP(B12,'NF Diesel'!$T$6:$Z$19,2,0),0)</f>
        <v>4.17</v>
      </c>
      <c r="D12" s="307">
        <v>4.0510000000000002</v>
      </c>
      <c r="E12" s="307">
        <f t="shared" ref="E12:E13" si="2">D12</f>
        <v>4.0510000000000002</v>
      </c>
      <c r="F12" s="134">
        <v>0</v>
      </c>
      <c r="G12" s="134">
        <f t="shared" si="0"/>
        <v>0</v>
      </c>
      <c r="H12" s="146">
        <v>1</v>
      </c>
      <c r="I12" s="134">
        <f t="shared" si="1"/>
        <v>0</v>
      </c>
    </row>
    <row r="13" spans="2:13" x14ac:dyDescent="0.35">
      <c r="B13" s="81">
        <v>45962</v>
      </c>
      <c r="C13" s="307">
        <f>IFERROR(VLOOKUP(B13,'NF Diesel'!$T$6:$Z$19,2,0),0)</f>
        <v>4.17</v>
      </c>
      <c r="D13" s="307">
        <v>4.0510000000000002</v>
      </c>
      <c r="E13" s="307">
        <f t="shared" si="2"/>
        <v>4.0510000000000002</v>
      </c>
      <c r="F13" s="134">
        <v>0</v>
      </c>
      <c r="G13" s="134">
        <f t="shared" si="0"/>
        <v>0</v>
      </c>
      <c r="H13" s="146">
        <v>1</v>
      </c>
      <c r="I13" s="134">
        <f t="shared" si="1"/>
        <v>0</v>
      </c>
    </row>
    <row r="14" spans="2:13" x14ac:dyDescent="0.35">
      <c r="B14" s="81">
        <v>45992</v>
      </c>
      <c r="C14" s="307">
        <f>Secund!M19</f>
        <v>4.2300000000000004</v>
      </c>
      <c r="D14" s="307">
        <f>Secund!N19</f>
        <v>4.0809999999999995</v>
      </c>
      <c r="E14" s="307">
        <f>D14</f>
        <v>4.0809999999999995</v>
      </c>
      <c r="F14" s="134">
        <f>E50</f>
        <v>0.96</v>
      </c>
      <c r="G14" s="134">
        <f t="shared" si="0"/>
        <v>3.9177599999999995</v>
      </c>
      <c r="H14" s="146">
        <v>1</v>
      </c>
      <c r="I14" s="134">
        <f t="shared" si="1"/>
        <v>3.92</v>
      </c>
    </row>
    <row r="17" spans="2:9" ht="15.5" customHeight="1" x14ac:dyDescent="0.35">
      <c r="B17" s="407" t="s">
        <v>4</v>
      </c>
      <c r="C17" s="408"/>
      <c r="D17" s="408"/>
      <c r="E17" s="408"/>
      <c r="F17" s="408"/>
      <c r="G17" s="408"/>
      <c r="H17" s="408"/>
      <c r="I17" s="409"/>
    </row>
    <row r="18" spans="2:9" x14ac:dyDescent="0.35">
      <c r="B18" s="294" t="s">
        <v>3</v>
      </c>
      <c r="C18" s="294"/>
      <c r="D18" s="294"/>
      <c r="E18" s="294"/>
      <c r="F18" s="294"/>
      <c r="G18" s="294"/>
      <c r="H18" s="294"/>
      <c r="I18" s="294"/>
    </row>
    <row r="19" spans="2:9" ht="40.5" customHeight="1" x14ac:dyDescent="0.35">
      <c r="B19" s="169" t="s">
        <v>125</v>
      </c>
      <c r="C19" s="72" t="s">
        <v>124</v>
      </c>
      <c r="D19" s="72" t="s">
        <v>0</v>
      </c>
      <c r="E19" s="93" t="s">
        <v>1</v>
      </c>
      <c r="F19" s="72" t="s">
        <v>2</v>
      </c>
      <c r="G19" s="93" t="s">
        <v>7</v>
      </c>
      <c r="H19" s="72" t="s">
        <v>6</v>
      </c>
      <c r="I19" s="72" t="s">
        <v>295</v>
      </c>
    </row>
    <row r="20" spans="2:9" x14ac:dyDescent="0.35">
      <c r="B20" s="145">
        <v>45809</v>
      </c>
      <c r="C20" s="307">
        <f>Secund!C13</f>
        <v>3.0724426761851586</v>
      </c>
      <c r="D20" s="307">
        <f>Secund!D13</f>
        <v>3.1130014569133233</v>
      </c>
      <c r="E20" s="307">
        <f>Secund!E13</f>
        <v>3.0724426761851586</v>
      </c>
      <c r="F20" s="134">
        <f>85.6658359260014*1000</f>
        <v>85665.835926001411</v>
      </c>
      <c r="G20" s="134">
        <f>E20*F20</f>
        <v>263203.37019012246</v>
      </c>
      <c r="H20" s="146">
        <v>1</v>
      </c>
      <c r="I20" s="134">
        <f t="shared" ref="I20:I25" si="3">ROUND(G20*H20,2)</f>
        <v>263203.37</v>
      </c>
    </row>
    <row r="21" spans="2:9" x14ac:dyDescent="0.35">
      <c r="B21" s="145">
        <v>45839</v>
      </c>
      <c r="C21" s="307">
        <f>Secund!C14</f>
        <v>3.0724426761851586</v>
      </c>
      <c r="D21" s="307">
        <f>Secund!D14</f>
        <v>2.9949002926718546</v>
      </c>
      <c r="E21" s="307">
        <f>Secund!E14</f>
        <v>2.9949002926718546</v>
      </c>
      <c r="F21" s="134">
        <f>128.866236595691*1000</f>
        <v>128866.23659569099</v>
      </c>
      <c r="G21" s="134">
        <f>E21*F21</f>
        <v>385941.5296959554</v>
      </c>
      <c r="H21" s="146">
        <f>ROUND(Parâmetros!$D$6,6)</f>
        <v>1</v>
      </c>
      <c r="I21" s="134">
        <f t="shared" si="3"/>
        <v>385941.53</v>
      </c>
    </row>
    <row r="22" spans="2:9" x14ac:dyDescent="0.35">
      <c r="B22" s="145">
        <v>45870</v>
      </c>
      <c r="C22" s="307">
        <f>Secund!C15</f>
        <v>3.0724426761851586</v>
      </c>
      <c r="D22" s="307">
        <f>Secund!D15</f>
        <v>2.9970588830897174</v>
      </c>
      <c r="E22" s="307">
        <f>Secund!E15</f>
        <v>2.9970588830897174</v>
      </c>
      <c r="F22" s="134">
        <f>24.66*1000</f>
        <v>24660</v>
      </c>
      <c r="G22" s="134">
        <f>E22*F22</f>
        <v>73907.472056992425</v>
      </c>
      <c r="H22" s="146">
        <f>ROUND(Parâmetros!$D$6,6)</f>
        <v>1</v>
      </c>
      <c r="I22" s="134">
        <f>ROUND(G22*H22,2)</f>
        <v>73907.47</v>
      </c>
    </row>
    <row r="23" spans="2:9" x14ac:dyDescent="0.35">
      <c r="B23" s="145">
        <v>45901</v>
      </c>
      <c r="C23" s="307">
        <v>3.0724426761851586</v>
      </c>
      <c r="D23" s="307">
        <v>3.2553664866865346</v>
      </c>
      <c r="E23" s="307">
        <f>C23</f>
        <v>3.0724426761851586</v>
      </c>
      <c r="F23" s="134">
        <v>0</v>
      </c>
      <c r="G23" s="134">
        <f t="shared" ref="G23:G26" si="4">E23*F23</f>
        <v>0</v>
      </c>
      <c r="H23" s="146">
        <v>1</v>
      </c>
      <c r="I23" s="134">
        <f t="shared" si="3"/>
        <v>0</v>
      </c>
    </row>
    <row r="24" spans="2:9" x14ac:dyDescent="0.35">
      <c r="B24" s="145">
        <v>45931</v>
      </c>
      <c r="C24" s="307">
        <v>4.3230022438294693</v>
      </c>
      <c r="D24" s="307">
        <v>2.9391128399792841</v>
      </c>
      <c r="E24" s="307">
        <f>D24</f>
        <v>2.9391128399792841</v>
      </c>
      <c r="F24" s="134">
        <v>0</v>
      </c>
      <c r="G24" s="134">
        <f t="shared" si="4"/>
        <v>0</v>
      </c>
      <c r="H24" s="146">
        <f>ROUND(Parâmetros!$D$6,6)</f>
        <v>1</v>
      </c>
      <c r="I24" s="134">
        <f t="shared" si="3"/>
        <v>0</v>
      </c>
    </row>
    <row r="25" spans="2:9" x14ac:dyDescent="0.35">
      <c r="B25" s="145">
        <v>45962</v>
      </c>
      <c r="C25" s="307">
        <v>4.3230022438294693</v>
      </c>
      <c r="D25" s="307">
        <v>2.9305669668536072</v>
      </c>
      <c r="E25" s="307">
        <f>D25</f>
        <v>2.9305669668536072</v>
      </c>
      <c r="F25" s="134">
        <v>0</v>
      </c>
      <c r="G25" s="134">
        <f t="shared" si="4"/>
        <v>0</v>
      </c>
      <c r="H25" s="146">
        <f>ROUND(Parâmetros!$D$6,6)</f>
        <v>1</v>
      </c>
      <c r="I25" s="134">
        <f t="shared" si="3"/>
        <v>0</v>
      </c>
    </row>
    <row r="26" spans="2:9" x14ac:dyDescent="0.35">
      <c r="B26" s="145">
        <v>45992</v>
      </c>
      <c r="C26" s="307">
        <v>4.3259749428155541</v>
      </c>
      <c r="D26" s="307">
        <v>2.8513435438904438</v>
      </c>
      <c r="E26" s="307">
        <f>D26</f>
        <v>2.8513435438904438</v>
      </c>
      <c r="F26" s="134">
        <f>F50</f>
        <v>21.03</v>
      </c>
      <c r="G26" s="134">
        <f t="shared" si="4"/>
        <v>59.963754728016035</v>
      </c>
      <c r="H26" s="146">
        <f>ROUND(Parâmetros!$D$6,6)</f>
        <v>1</v>
      </c>
      <c r="I26" s="134">
        <f>ROUND(G26*H26,2)</f>
        <v>59.96</v>
      </c>
    </row>
    <row r="30" spans="2:9" x14ac:dyDescent="0.35">
      <c r="B30" s="407" t="s">
        <v>294</v>
      </c>
      <c r="C30" s="408"/>
      <c r="D30" s="408"/>
      <c r="E30" s="408"/>
      <c r="F30" s="408"/>
    </row>
    <row r="31" spans="2:9" ht="29" x14ac:dyDescent="0.35">
      <c r="B31" s="169" t="s">
        <v>80</v>
      </c>
      <c r="C31" s="169" t="s">
        <v>84</v>
      </c>
      <c r="D31" s="293" t="s">
        <v>296</v>
      </c>
      <c r="E31" s="293" t="s">
        <v>297</v>
      </c>
      <c r="F31" s="293" t="s">
        <v>298</v>
      </c>
    </row>
    <row r="32" spans="2:9" x14ac:dyDescent="0.35">
      <c r="B32" s="189">
        <v>45809</v>
      </c>
      <c r="C32" s="88" t="s">
        <v>183</v>
      </c>
      <c r="D32" s="309">
        <v>95542.601646572497</v>
      </c>
      <c r="E32" s="289">
        <v>1.7249681907779819</v>
      </c>
      <c r="F32" s="289">
        <v>85.665835926001378</v>
      </c>
    </row>
    <row r="33" spans="2:6" x14ac:dyDescent="0.35">
      <c r="B33" s="273"/>
      <c r="C33" s="273"/>
      <c r="D33" s="310"/>
      <c r="E33" s="276"/>
      <c r="F33" s="276"/>
    </row>
    <row r="34" spans="2:6" ht="15" thickBot="1" x14ac:dyDescent="0.4">
      <c r="B34" s="91">
        <v>45809</v>
      </c>
      <c r="C34" s="91" t="s">
        <v>88</v>
      </c>
      <c r="D34" s="311">
        <f>SUM(D32:D32)</f>
        <v>95542.601646572497</v>
      </c>
      <c r="E34" s="285">
        <f>SUM(E32:E32)</f>
        <v>1.7249681907779819</v>
      </c>
      <c r="F34" s="285">
        <f>SUM(F32:F32)</f>
        <v>85.665835926001378</v>
      </c>
    </row>
    <row r="35" spans="2:6" ht="15" thickTop="1" x14ac:dyDescent="0.35">
      <c r="B35" s="189">
        <v>45839</v>
      </c>
      <c r="C35" s="88" t="s">
        <v>183</v>
      </c>
      <c r="D35" s="309">
        <v>109659.35274077732</v>
      </c>
      <c r="E35" s="289">
        <v>57.046213202519787</v>
      </c>
      <c r="F35" s="289">
        <v>128.86623659569065</v>
      </c>
    </row>
    <row r="36" spans="2:6" x14ac:dyDescent="0.35">
      <c r="B36" s="273"/>
      <c r="C36" s="273"/>
      <c r="D36" s="310"/>
      <c r="E36" s="276"/>
      <c r="F36" s="276"/>
    </row>
    <row r="37" spans="2:6" ht="15" thickBot="1" x14ac:dyDescent="0.4">
      <c r="B37" s="91">
        <v>45839</v>
      </c>
      <c r="C37" s="91" t="s">
        <v>88</v>
      </c>
      <c r="D37" s="311">
        <f>SUM(D35:D35)</f>
        <v>109659.35274077732</v>
      </c>
      <c r="E37" s="285">
        <f>SUM(E35:E35)</f>
        <v>57.046213202519787</v>
      </c>
      <c r="F37" s="285">
        <f>SUM(F35:F35)</f>
        <v>128.86623659569065</v>
      </c>
    </row>
    <row r="38" spans="2:6" ht="15" thickTop="1" x14ac:dyDescent="0.35">
      <c r="B38" s="189">
        <v>45870</v>
      </c>
      <c r="C38" s="88" t="s">
        <v>183</v>
      </c>
      <c r="D38" s="309">
        <v>38349.279999999999</v>
      </c>
      <c r="E38" s="289">
        <v>6.28</v>
      </c>
      <c r="F38" s="289">
        <v>24.66</v>
      </c>
    </row>
    <row r="39" spans="2:6" x14ac:dyDescent="0.35">
      <c r="B39" s="273"/>
      <c r="C39" s="273"/>
      <c r="D39" s="310"/>
      <c r="E39" s="276"/>
      <c r="F39" s="276"/>
    </row>
    <row r="40" spans="2:6" ht="15" thickBot="1" x14ac:dyDescent="0.4">
      <c r="B40" s="91">
        <v>45870</v>
      </c>
      <c r="C40" s="91" t="s">
        <v>88</v>
      </c>
      <c r="D40" s="311">
        <f>SUM(D38:D38)</f>
        <v>38349.279999999999</v>
      </c>
      <c r="E40" s="285">
        <f>SUM(E38:E38)</f>
        <v>6.28</v>
      </c>
      <c r="F40" s="285">
        <f>SUM(F38:F38)</f>
        <v>24.66</v>
      </c>
    </row>
    <row r="41" spans="2:6" ht="15" thickTop="1" x14ac:dyDescent="0.35">
      <c r="B41" s="189">
        <v>45901</v>
      </c>
      <c r="C41" s="88" t="s">
        <v>183</v>
      </c>
      <c r="D41" s="313">
        <v>0</v>
      </c>
      <c r="E41" s="312">
        <v>0</v>
      </c>
      <c r="F41" s="312">
        <v>0</v>
      </c>
    </row>
    <row r="42" spans="2:6" x14ac:dyDescent="0.35">
      <c r="B42" s="273"/>
      <c r="C42" s="273"/>
      <c r="D42" s="310"/>
      <c r="E42" s="276"/>
      <c r="F42" s="276"/>
    </row>
    <row r="43" spans="2:6" ht="15" thickBot="1" x14ac:dyDescent="0.4">
      <c r="B43" s="91">
        <v>45901</v>
      </c>
      <c r="C43" s="91" t="s">
        <v>88</v>
      </c>
      <c r="D43" s="285">
        <f>SUM(D41:D41)</f>
        <v>0</v>
      </c>
      <c r="E43" s="285">
        <f>SUM(E41:E41)</f>
        <v>0</v>
      </c>
      <c r="F43" s="285">
        <f>SUM(F41:F41)</f>
        <v>0</v>
      </c>
    </row>
    <row r="44" spans="2:6" ht="15" thickTop="1" x14ac:dyDescent="0.35">
      <c r="B44" s="189">
        <v>45931</v>
      </c>
      <c r="C44" s="88" t="s">
        <v>183</v>
      </c>
      <c r="D44" s="309"/>
      <c r="E44" s="289"/>
      <c r="F44" s="289"/>
    </row>
    <row r="45" spans="2:6" x14ac:dyDescent="0.35">
      <c r="B45" s="273"/>
      <c r="C45" s="273"/>
      <c r="D45" s="310"/>
      <c r="E45" s="276"/>
      <c r="F45" s="276"/>
    </row>
    <row r="46" spans="2:6" ht="15" thickBot="1" x14ac:dyDescent="0.4">
      <c r="B46" s="91">
        <v>45931</v>
      </c>
      <c r="C46" s="91" t="s">
        <v>88</v>
      </c>
      <c r="D46" s="285">
        <f>SUM(D44:D44)</f>
        <v>0</v>
      </c>
      <c r="E46" s="285">
        <f>SUM(E44:E44)</f>
        <v>0</v>
      </c>
      <c r="F46" s="285">
        <f>SUM(F44:F44)</f>
        <v>0</v>
      </c>
    </row>
    <row r="47" spans="2:6" ht="15" thickTop="1" x14ac:dyDescent="0.35">
      <c r="B47" s="189">
        <v>45962</v>
      </c>
      <c r="C47" s="88" t="s">
        <v>183</v>
      </c>
      <c r="D47" s="309"/>
      <c r="E47" s="289"/>
      <c r="F47" s="289"/>
    </row>
    <row r="48" spans="2:6" x14ac:dyDescent="0.35">
      <c r="B48" s="273"/>
      <c r="C48" s="273"/>
      <c r="D48" s="310"/>
      <c r="E48" s="276"/>
      <c r="F48" s="276"/>
    </row>
    <row r="49" spans="2:6" ht="15" thickBot="1" x14ac:dyDescent="0.4">
      <c r="B49" s="91">
        <v>45962</v>
      </c>
      <c r="C49" s="91" t="s">
        <v>88</v>
      </c>
      <c r="D49" s="285">
        <f>SUM(D47:D47)</f>
        <v>0</v>
      </c>
      <c r="E49" s="285">
        <f>SUM(E47:E47)</f>
        <v>0</v>
      </c>
      <c r="F49" s="285">
        <f>SUM(F47:F47)</f>
        <v>0</v>
      </c>
    </row>
    <row r="50" spans="2:6" ht="15" thickTop="1" x14ac:dyDescent="0.35">
      <c r="B50" s="189">
        <v>45992</v>
      </c>
      <c r="C50" s="88" t="s">
        <v>183</v>
      </c>
      <c r="D50" s="309">
        <v>4686.41</v>
      </c>
      <c r="E50" s="289">
        <v>0.96</v>
      </c>
      <c r="F50" s="289">
        <v>21.03</v>
      </c>
    </row>
    <row r="51" spans="2:6" x14ac:dyDescent="0.35">
      <c r="B51" s="273"/>
      <c r="C51" s="273"/>
      <c r="D51" s="310"/>
      <c r="E51" s="276"/>
      <c r="F51" s="276"/>
    </row>
    <row r="52" spans="2:6" ht="15" thickBot="1" x14ac:dyDescent="0.4">
      <c r="B52" s="91">
        <v>45962</v>
      </c>
      <c r="C52" s="91" t="s">
        <v>88</v>
      </c>
      <c r="D52" s="285">
        <f>SUM(D50:D50)</f>
        <v>4686.41</v>
      </c>
      <c r="E52" s="285">
        <f>SUM(E50:E50)</f>
        <v>0.96</v>
      </c>
      <c r="F52" s="285">
        <f>SUM(F50:F50)</f>
        <v>21.03</v>
      </c>
    </row>
    <row r="53" spans="2:6" ht="15" thickTop="1" x14ac:dyDescent="0.35"/>
  </sheetData>
  <mergeCells count="3">
    <mergeCell ref="B30:F30"/>
    <mergeCell ref="B5:I5"/>
    <mergeCell ref="B17:I17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EA398-5ABD-4784-905A-536B60DB97FF}">
  <dimension ref="A1:Q69"/>
  <sheetViews>
    <sheetView showGridLines="0" zoomScale="70" zoomScaleNormal="70" workbookViewId="0">
      <selection activeCell="J38" sqref="J38"/>
    </sheetView>
  </sheetViews>
  <sheetFormatPr defaultRowHeight="14.5" x14ac:dyDescent="0.35"/>
  <cols>
    <col min="2" max="2" width="18.54296875" customWidth="1"/>
    <col min="3" max="3" width="16.7265625" bestFit="1" customWidth="1"/>
    <col min="4" max="4" width="22.81640625" bestFit="1" customWidth="1"/>
    <col min="5" max="5" width="35" customWidth="1"/>
    <col min="6" max="6" width="17" bestFit="1" customWidth="1"/>
    <col min="7" max="7" width="21.7265625" bestFit="1" customWidth="1"/>
    <col min="8" max="8" width="33" bestFit="1" customWidth="1"/>
    <col min="9" max="9" width="21.453125" customWidth="1"/>
    <col min="10" max="10" width="20.54296875" customWidth="1"/>
    <col min="11" max="11" width="19.1796875" bestFit="1" customWidth="1"/>
    <col min="12" max="12" width="19.54296875" bestFit="1" customWidth="1"/>
    <col min="13" max="14" width="18" hidden="1" customWidth="1"/>
    <col min="15" max="15" width="17" bestFit="1" customWidth="1"/>
    <col min="16" max="17" width="14.54296875" bestFit="1" customWidth="1"/>
  </cols>
  <sheetData>
    <row r="1" spans="1:17" x14ac:dyDescent="0.35"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15" customHeight="1" x14ac:dyDescent="0.35">
      <c r="A2" s="410" t="s">
        <v>240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</row>
    <row r="3" spans="1:17" ht="15" customHeight="1" x14ac:dyDescent="0.35">
      <c r="A3" s="410"/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</row>
    <row r="4" spans="1:17" x14ac:dyDescent="0.35">
      <c r="A4" s="410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</row>
    <row r="5" spans="1:17" x14ac:dyDescent="0.35">
      <c r="O5" s="192"/>
    </row>
    <row r="6" spans="1:17" x14ac:dyDescent="0.35">
      <c r="G6" s="411" t="s">
        <v>222</v>
      </c>
      <c r="H6" s="412"/>
      <c r="I6" s="412"/>
      <c r="J6" s="412"/>
      <c r="K6" s="412"/>
      <c r="L6" s="412"/>
      <c r="M6" s="412"/>
      <c r="N6" s="412"/>
    </row>
    <row r="7" spans="1:17" ht="14.5" customHeight="1" x14ac:dyDescent="0.35">
      <c r="F7" s="193"/>
      <c r="G7" s="413" t="s">
        <v>223</v>
      </c>
      <c r="H7" s="414"/>
      <c r="I7" s="414"/>
      <c r="J7" s="414"/>
      <c r="K7" s="414"/>
      <c r="L7" s="414"/>
      <c r="M7" s="414"/>
      <c r="N7" s="414"/>
    </row>
    <row r="8" spans="1:17" ht="29" x14ac:dyDescent="0.35">
      <c r="B8" s="415" t="s">
        <v>224</v>
      </c>
      <c r="C8" s="416"/>
      <c r="D8" s="194" t="s">
        <v>225</v>
      </c>
      <c r="E8" s="183"/>
      <c r="F8" s="195" t="s">
        <v>226</v>
      </c>
      <c r="G8" s="196" t="s">
        <v>227</v>
      </c>
      <c r="H8" s="196" t="s">
        <v>228</v>
      </c>
      <c r="I8" s="196" t="s">
        <v>229</v>
      </c>
      <c r="J8" s="196" t="s">
        <v>230</v>
      </c>
      <c r="K8" s="196" t="s">
        <v>231</v>
      </c>
      <c r="L8" s="196" t="s">
        <v>232</v>
      </c>
      <c r="M8" s="196" t="s">
        <v>233</v>
      </c>
      <c r="N8" s="196" t="s">
        <v>234</v>
      </c>
    </row>
    <row r="9" spans="1:17" x14ac:dyDescent="0.35">
      <c r="B9" s="302">
        <v>43952</v>
      </c>
      <c r="C9" s="303">
        <v>-0.38</v>
      </c>
      <c r="D9" s="303">
        <f>ROUND(E9*(1+C9/100),2)</f>
        <v>99.62</v>
      </c>
      <c r="E9" s="183">
        <v>100</v>
      </c>
      <c r="F9" s="198" t="s">
        <v>235</v>
      </c>
      <c r="G9" s="199">
        <v>121661795.08</v>
      </c>
      <c r="H9" s="200">
        <f>ROUND(G9*(D16/D11),2)</f>
        <v>126577300.56999999</v>
      </c>
      <c r="I9" s="201">
        <f>L9-M9</f>
        <v>1720556.2700000005</v>
      </c>
      <c r="J9" s="200">
        <f>H9-G9</f>
        <v>4915505.4899999946</v>
      </c>
      <c r="K9" s="200">
        <f>ROUND((H$9/24),2)</f>
        <v>5274054.1900000004</v>
      </c>
      <c r="L9" s="202">
        <f>K9</f>
        <v>5274054.1900000004</v>
      </c>
      <c r="M9" s="203">
        <f>ROUND(N9*75%,2)</f>
        <v>3553497.92</v>
      </c>
      <c r="N9" s="203">
        <f>ROUND(4737997.22622149,2)</f>
        <v>4737997.2300000004</v>
      </c>
      <c r="O9" s="11"/>
    </row>
    <row r="10" spans="1:17" x14ac:dyDescent="0.35">
      <c r="B10" s="302">
        <v>43983</v>
      </c>
      <c r="C10" s="303">
        <v>0.26</v>
      </c>
      <c r="D10" s="303">
        <f t="shared" ref="D10:D17" si="0">ROUND(D9*(1+C10/100),2)</f>
        <v>99.88</v>
      </c>
      <c r="E10" s="183"/>
      <c r="F10" s="300">
        <v>45200</v>
      </c>
      <c r="G10" s="258">
        <f>ROUND(H9-L9+I9,2)</f>
        <v>123023802.65000001</v>
      </c>
      <c r="H10" s="258">
        <f>(ROUND((G10*(1+C17%))*(1+C19%),2))</f>
        <v>148246676.40000001</v>
      </c>
      <c r="I10" s="259">
        <v>0</v>
      </c>
      <c r="J10" s="259">
        <v>0</v>
      </c>
      <c r="K10" s="259">
        <f>ROUND((H$10/35),2)</f>
        <v>4235619.33</v>
      </c>
      <c r="L10" s="260">
        <f>J10+K10</f>
        <v>4235619.33</v>
      </c>
      <c r="M10" s="205">
        <f>ROUND(N10*75%,2)</f>
        <v>10444532.640000001</v>
      </c>
      <c r="N10" s="205">
        <f>'Carvão &amp; Total'!P14</f>
        <v>13926043.52</v>
      </c>
    </row>
    <row r="11" spans="1:17" x14ac:dyDescent="0.35">
      <c r="B11" s="302">
        <v>44013</v>
      </c>
      <c r="C11" s="303">
        <v>0.36</v>
      </c>
      <c r="D11" s="303">
        <f t="shared" si="0"/>
        <v>100.24</v>
      </c>
      <c r="E11" s="207"/>
      <c r="F11" s="256">
        <v>45231</v>
      </c>
      <c r="G11" s="257">
        <f t="shared" ref="G11:G43" si="1">ROUND(H10-L10+I10,2)</f>
        <v>144011057.06999999</v>
      </c>
      <c r="H11" s="258">
        <f>ROUND(G11*(1+C20%),2)</f>
        <v>144356683.61000001</v>
      </c>
      <c r="I11" s="301">
        <v>0</v>
      </c>
      <c r="J11" s="301">
        <f>ROUND(H11-G11,2)</f>
        <v>345626.54</v>
      </c>
      <c r="K11" s="301">
        <f t="shared" ref="K11:K45" si="2">ROUND((H$10/35),2)</f>
        <v>4235619.33</v>
      </c>
      <c r="L11" s="260">
        <f>J11+K11</f>
        <v>4581245.87</v>
      </c>
      <c r="M11" s="229">
        <f t="shared" ref="M11:M45" si="3">ROUND(N11*75%,2)</f>
        <v>10394768.210000001</v>
      </c>
      <c r="N11" s="205">
        <f>'Carvão &amp; Total'!P15</f>
        <v>13859690.939999999</v>
      </c>
    </row>
    <row r="12" spans="1:17" x14ac:dyDescent="0.35">
      <c r="B12" s="302">
        <v>44044</v>
      </c>
      <c r="C12" s="304">
        <v>0.24</v>
      </c>
      <c r="D12" s="303">
        <f t="shared" si="0"/>
        <v>100.48</v>
      </c>
      <c r="E12" s="212"/>
      <c r="F12" s="256">
        <v>45261</v>
      </c>
      <c r="G12" s="257">
        <f t="shared" si="1"/>
        <v>139775437.74000001</v>
      </c>
      <c r="H12" s="258">
        <f t="shared" ref="H12:H45" si="4">ROUND(G12*(1+C21%),2)</f>
        <v>140166808.97</v>
      </c>
      <c r="I12" s="301">
        <f t="shared" ref="I12:I45" si="5">IF(M12&gt;L12,0,L12-M12)</f>
        <v>0</v>
      </c>
      <c r="J12" s="301">
        <f t="shared" ref="J12:J45" si="6">ROUND(H12-G12,2)</f>
        <v>391371.23</v>
      </c>
      <c r="K12" s="301">
        <f t="shared" si="2"/>
        <v>4235619.33</v>
      </c>
      <c r="L12" s="260">
        <f t="shared" ref="L12:L45" si="7">J12+K12</f>
        <v>4626990.5600000005</v>
      </c>
      <c r="M12" s="229">
        <f t="shared" si="3"/>
        <v>9660651.4499999993</v>
      </c>
      <c r="N12" s="206">
        <v>12880868.60544</v>
      </c>
    </row>
    <row r="13" spans="1:17" x14ac:dyDescent="0.35">
      <c r="B13" s="302">
        <v>44075</v>
      </c>
      <c r="C13" s="296">
        <v>0.64</v>
      </c>
      <c r="D13" s="303">
        <f t="shared" si="0"/>
        <v>101.12</v>
      </c>
      <c r="E13" s="212"/>
      <c r="F13" s="256">
        <v>45292</v>
      </c>
      <c r="G13" s="257">
        <f t="shared" si="1"/>
        <v>135539818.41</v>
      </c>
      <c r="H13" s="258">
        <f t="shared" si="4"/>
        <v>136298841.38999999</v>
      </c>
      <c r="I13" s="301">
        <f t="shared" si="5"/>
        <v>0</v>
      </c>
      <c r="J13" s="301">
        <f t="shared" si="6"/>
        <v>759022.98</v>
      </c>
      <c r="K13" s="301">
        <f t="shared" si="2"/>
        <v>4235619.33</v>
      </c>
      <c r="L13" s="260">
        <f t="shared" si="7"/>
        <v>4994642.3100000005</v>
      </c>
      <c r="M13" s="229">
        <f t="shared" si="3"/>
        <v>11034509.699999999</v>
      </c>
      <c r="N13" s="206">
        <v>14712679.6</v>
      </c>
    </row>
    <row r="14" spans="1:17" x14ac:dyDescent="0.35">
      <c r="B14" s="302">
        <v>44105</v>
      </c>
      <c r="C14" s="296">
        <v>0.86</v>
      </c>
      <c r="D14" s="303">
        <f t="shared" si="0"/>
        <v>101.99</v>
      </c>
      <c r="E14" s="212"/>
      <c r="F14" s="256">
        <v>45323</v>
      </c>
      <c r="G14" s="257">
        <f t="shared" si="1"/>
        <v>131304199.08</v>
      </c>
      <c r="H14" s="258">
        <f t="shared" si="4"/>
        <v>131855676.72</v>
      </c>
      <c r="I14" s="301">
        <f t="shared" si="5"/>
        <v>0</v>
      </c>
      <c r="J14" s="301">
        <f t="shared" si="6"/>
        <v>551477.64</v>
      </c>
      <c r="K14" s="301">
        <f t="shared" si="2"/>
        <v>4235619.33</v>
      </c>
      <c r="L14" s="260">
        <f t="shared" si="7"/>
        <v>4787096.97</v>
      </c>
      <c r="M14" s="211">
        <f t="shared" si="3"/>
        <v>10383513.630000001</v>
      </c>
      <c r="N14" s="206">
        <v>13844684.84</v>
      </c>
    </row>
    <row r="15" spans="1:17" x14ac:dyDescent="0.35">
      <c r="B15" s="302">
        <v>44136</v>
      </c>
      <c r="C15" s="296">
        <v>0.89</v>
      </c>
      <c r="D15" s="303">
        <f t="shared" si="0"/>
        <v>102.9</v>
      </c>
      <c r="E15" s="212"/>
      <c r="F15" s="256">
        <v>45352</v>
      </c>
      <c r="G15" s="257">
        <f t="shared" si="1"/>
        <v>127068579.75</v>
      </c>
      <c r="H15" s="258">
        <f t="shared" si="4"/>
        <v>128123248.95999999</v>
      </c>
      <c r="I15" s="301">
        <f t="shared" si="5"/>
        <v>0</v>
      </c>
      <c r="J15" s="301">
        <f t="shared" si="6"/>
        <v>1054669.21</v>
      </c>
      <c r="K15" s="301">
        <f t="shared" si="2"/>
        <v>4235619.33</v>
      </c>
      <c r="L15" s="260">
        <f t="shared" si="7"/>
        <v>5290288.54</v>
      </c>
      <c r="M15" s="211">
        <f t="shared" si="3"/>
        <v>10377939.039999999</v>
      </c>
      <c r="N15" s="206">
        <v>13837252.049999999</v>
      </c>
    </row>
    <row r="16" spans="1:17" x14ac:dyDescent="0.35">
      <c r="B16" s="302">
        <v>44166</v>
      </c>
      <c r="C16" s="296">
        <v>1.35</v>
      </c>
      <c r="D16" s="303">
        <f t="shared" si="0"/>
        <v>104.29</v>
      </c>
      <c r="E16" s="212"/>
      <c r="F16" s="256">
        <v>45383</v>
      </c>
      <c r="G16" s="257">
        <f t="shared" si="1"/>
        <v>122832960.42</v>
      </c>
      <c r="H16" s="258">
        <f t="shared" si="4"/>
        <v>123029493.16</v>
      </c>
      <c r="I16" s="259">
        <f t="shared" si="5"/>
        <v>0</v>
      </c>
      <c r="J16" s="259">
        <f>ROUND(H16-G16,2)</f>
        <v>196532.74</v>
      </c>
      <c r="K16" s="259">
        <f t="shared" si="2"/>
        <v>4235619.33</v>
      </c>
      <c r="L16" s="260">
        <f t="shared" si="7"/>
        <v>4432152.07</v>
      </c>
      <c r="M16" s="211">
        <f t="shared" si="3"/>
        <v>10778473.15</v>
      </c>
      <c r="N16" s="206">
        <v>14371297.532557564</v>
      </c>
    </row>
    <row r="17" spans="2:16" ht="14.25" customHeight="1" x14ac:dyDescent="0.35">
      <c r="B17" s="305" t="s">
        <v>236</v>
      </c>
      <c r="C17" s="306">
        <v>20.18994</v>
      </c>
      <c r="D17" s="303">
        <f t="shared" si="0"/>
        <v>125.35</v>
      </c>
      <c r="E17" s="213"/>
      <c r="F17" s="256">
        <v>45413</v>
      </c>
      <c r="G17" s="257">
        <f>ROUND(H16-L16+I16,2)</f>
        <v>118597341.09</v>
      </c>
      <c r="H17" s="258">
        <f t="shared" si="4"/>
        <v>119048010.98999999</v>
      </c>
      <c r="I17" s="259">
        <f t="shared" si="5"/>
        <v>0</v>
      </c>
      <c r="J17" s="259">
        <f t="shared" si="6"/>
        <v>450669.9</v>
      </c>
      <c r="K17" s="259">
        <f t="shared" si="2"/>
        <v>4235619.33</v>
      </c>
      <c r="L17" s="260">
        <f t="shared" si="7"/>
        <v>4686289.2300000004</v>
      </c>
      <c r="M17" s="211">
        <f t="shared" si="3"/>
        <v>11763750.33</v>
      </c>
      <c r="N17" s="206">
        <v>15685000.44631476</v>
      </c>
    </row>
    <row r="18" spans="2:16" x14ac:dyDescent="0.35">
      <c r="B18" s="417"/>
      <c r="C18" s="418"/>
      <c r="D18" s="303" t="s">
        <v>225</v>
      </c>
      <c r="E18" s="212"/>
      <c r="F18" s="256">
        <v>45444</v>
      </c>
      <c r="G18" s="257">
        <f t="shared" si="1"/>
        <v>114361721.76000001</v>
      </c>
      <c r="H18" s="258">
        <f t="shared" si="4"/>
        <v>114887785.68000001</v>
      </c>
      <c r="I18" s="259">
        <f t="shared" si="5"/>
        <v>0</v>
      </c>
      <c r="J18" s="259">
        <f t="shared" si="6"/>
        <v>526063.92000000004</v>
      </c>
      <c r="K18" s="259">
        <f t="shared" si="2"/>
        <v>4235619.33</v>
      </c>
      <c r="L18" s="260">
        <f t="shared" si="7"/>
        <v>4761683.25</v>
      </c>
      <c r="M18" s="211">
        <f t="shared" si="3"/>
        <v>11767072.66</v>
      </c>
      <c r="N18" s="206">
        <v>15689430.210546136</v>
      </c>
    </row>
    <row r="19" spans="2:16" x14ac:dyDescent="0.35">
      <c r="B19" s="302">
        <v>45170</v>
      </c>
      <c r="C19" s="306">
        <v>0.26</v>
      </c>
      <c r="D19" s="306">
        <f>ROUND(D17*(1+C17/100),6)</f>
        <v>150.65808999999999</v>
      </c>
      <c r="E19" s="212"/>
      <c r="F19" s="256">
        <v>45474</v>
      </c>
      <c r="G19" s="257">
        <f t="shared" si="1"/>
        <v>110126102.43000001</v>
      </c>
      <c r="H19" s="258">
        <f t="shared" si="4"/>
        <v>110357367.25</v>
      </c>
      <c r="I19" s="259">
        <f t="shared" si="5"/>
        <v>0</v>
      </c>
      <c r="J19" s="259">
        <f t="shared" si="6"/>
        <v>231264.82</v>
      </c>
      <c r="K19" s="259">
        <f t="shared" si="2"/>
        <v>4235619.33</v>
      </c>
      <c r="L19" s="260">
        <f t="shared" si="7"/>
        <v>4466884.1500000004</v>
      </c>
      <c r="M19" s="211">
        <f t="shared" si="3"/>
        <v>11771419.85</v>
      </c>
      <c r="N19" s="206">
        <v>15695226.4631039</v>
      </c>
    </row>
    <row r="20" spans="2:16" x14ac:dyDescent="0.35">
      <c r="B20" s="302">
        <v>45200</v>
      </c>
      <c r="C20" s="306">
        <v>0.24</v>
      </c>
      <c r="D20" s="306">
        <f>ROUND(D19*(1+C19/100),6)</f>
        <v>151.049801</v>
      </c>
      <c r="E20" s="216"/>
      <c r="F20" s="256">
        <v>45505</v>
      </c>
      <c r="G20" s="257">
        <f>ROUND(H19-L19+I19,2)</f>
        <v>105890483.09999999</v>
      </c>
      <c r="H20" s="258">
        <f>ROUND(G20*(1+C29%),2)</f>
        <v>106292866.94</v>
      </c>
      <c r="I20" s="259">
        <f t="shared" si="5"/>
        <v>0</v>
      </c>
      <c r="J20" s="259">
        <f>ROUND(H20-G20,2)</f>
        <v>402383.84</v>
      </c>
      <c r="K20" s="259">
        <f t="shared" si="2"/>
        <v>4235619.33</v>
      </c>
      <c r="L20" s="260">
        <f t="shared" si="7"/>
        <v>4638003.17</v>
      </c>
      <c r="M20" s="211">
        <f t="shared" si="3"/>
        <v>11779127.699999999</v>
      </c>
      <c r="N20" s="206">
        <v>15705503.59713521</v>
      </c>
    </row>
    <row r="21" spans="2:16" x14ac:dyDescent="0.35">
      <c r="B21" s="302">
        <v>45231</v>
      </c>
      <c r="C21" s="306">
        <v>0.28000000000000003</v>
      </c>
      <c r="D21" s="306">
        <f>ROUND(D20*(1+C21/100),6)</f>
        <v>151.47273999999999</v>
      </c>
      <c r="E21" s="216"/>
      <c r="F21" s="256">
        <v>45536</v>
      </c>
      <c r="G21" s="257">
        <f t="shared" si="1"/>
        <v>101654863.77</v>
      </c>
      <c r="H21" s="258">
        <f>ROUND(G21*IF(C30&gt;0,(1+C30%),1),2)</f>
        <v>101654863.77</v>
      </c>
      <c r="I21" s="259">
        <f t="shared" si="5"/>
        <v>0</v>
      </c>
      <c r="J21" s="259">
        <f t="shared" si="6"/>
        <v>0</v>
      </c>
      <c r="K21" s="259">
        <f t="shared" si="2"/>
        <v>4235619.33</v>
      </c>
      <c r="L21" s="260">
        <f t="shared" si="7"/>
        <v>4235619.33</v>
      </c>
      <c r="M21" s="211">
        <f t="shared" si="3"/>
        <v>11779926.859999999</v>
      </c>
      <c r="N21" s="206">
        <v>15706569.149199724</v>
      </c>
    </row>
    <row r="22" spans="2:16" x14ac:dyDescent="0.35">
      <c r="B22" s="302">
        <v>45261</v>
      </c>
      <c r="C22" s="306">
        <v>0.56000000000000005</v>
      </c>
      <c r="D22" s="306">
        <f t="shared" ref="D22:D55" si="8">ROUND(D21*(1+C22/100),6)</f>
        <v>152.320987</v>
      </c>
      <c r="E22" s="216"/>
      <c r="F22" s="256">
        <v>45566</v>
      </c>
      <c r="G22" s="257">
        <f t="shared" si="1"/>
        <v>97419244.439999998</v>
      </c>
      <c r="H22" s="258">
        <f t="shared" ref="H22:H44" si="9">ROUND(G22*IF(C31&gt;0,(1+C31%),1),2)</f>
        <v>97847889.120000005</v>
      </c>
      <c r="I22" s="259">
        <f t="shared" si="5"/>
        <v>0</v>
      </c>
      <c r="J22" s="259">
        <f t="shared" si="6"/>
        <v>428644.68</v>
      </c>
      <c r="K22" s="259">
        <f t="shared" si="2"/>
        <v>4235619.33</v>
      </c>
      <c r="L22" s="260">
        <f t="shared" si="7"/>
        <v>4664264.01</v>
      </c>
      <c r="M22" s="211">
        <f t="shared" si="3"/>
        <v>11790356.130000001</v>
      </c>
      <c r="N22" s="206">
        <v>15720474.834426723</v>
      </c>
    </row>
    <row r="23" spans="2:16" x14ac:dyDescent="0.35">
      <c r="B23" s="302">
        <v>45292</v>
      </c>
      <c r="C23" s="306">
        <v>0.42</v>
      </c>
      <c r="D23" s="306">
        <f t="shared" si="8"/>
        <v>152.960735</v>
      </c>
      <c r="E23" s="216"/>
      <c r="F23" s="256">
        <v>45597</v>
      </c>
      <c r="G23" s="257">
        <f t="shared" si="1"/>
        <v>93183625.109999999</v>
      </c>
      <c r="H23" s="258">
        <f t="shared" si="9"/>
        <v>93705453.409999996</v>
      </c>
      <c r="I23" s="259">
        <f t="shared" si="5"/>
        <v>0</v>
      </c>
      <c r="J23" s="259">
        <f t="shared" si="6"/>
        <v>521828.3</v>
      </c>
      <c r="K23" s="259">
        <f t="shared" si="2"/>
        <v>4235619.33</v>
      </c>
      <c r="L23" s="260">
        <f t="shared" si="7"/>
        <v>4757447.63</v>
      </c>
      <c r="M23" s="211">
        <f t="shared" si="3"/>
        <v>11795722.26</v>
      </c>
      <c r="N23" s="206">
        <v>15727629.674994478</v>
      </c>
    </row>
    <row r="24" spans="2:16" x14ac:dyDescent="0.35">
      <c r="B24" s="302">
        <v>45323</v>
      </c>
      <c r="C24" s="306">
        <v>0.83</v>
      </c>
      <c r="D24" s="306">
        <f t="shared" si="8"/>
        <v>154.23030900000001</v>
      </c>
      <c r="F24" s="256">
        <v>45627</v>
      </c>
      <c r="G24" s="257">
        <f t="shared" si="1"/>
        <v>88948005.780000001</v>
      </c>
      <c r="H24" s="258">
        <f t="shared" si="9"/>
        <v>89294903</v>
      </c>
      <c r="I24" s="259">
        <f t="shared" si="5"/>
        <v>0</v>
      </c>
      <c r="J24" s="259">
        <f t="shared" si="6"/>
        <v>346897.22</v>
      </c>
      <c r="K24" s="259">
        <f t="shared" si="2"/>
        <v>4235619.33</v>
      </c>
      <c r="L24" s="260">
        <f t="shared" si="7"/>
        <v>4582516.55</v>
      </c>
      <c r="M24" s="211">
        <f t="shared" si="3"/>
        <v>11803339.4</v>
      </c>
      <c r="N24" s="206">
        <v>15737785.861146726</v>
      </c>
    </row>
    <row r="25" spans="2:16" x14ac:dyDescent="0.35">
      <c r="B25" s="302">
        <v>45352</v>
      </c>
      <c r="C25" s="306">
        <v>0.16</v>
      </c>
      <c r="D25" s="306">
        <f t="shared" si="8"/>
        <v>154.47707700000001</v>
      </c>
      <c r="F25" s="256">
        <v>45658</v>
      </c>
      <c r="G25" s="257">
        <f t="shared" si="1"/>
        <v>84712386.450000003</v>
      </c>
      <c r="H25" s="258">
        <f t="shared" si="9"/>
        <v>85152890.859999999</v>
      </c>
      <c r="I25" s="259">
        <f t="shared" si="5"/>
        <v>0</v>
      </c>
      <c r="J25" s="259">
        <f t="shared" si="6"/>
        <v>440504.41</v>
      </c>
      <c r="K25" s="259">
        <f t="shared" si="2"/>
        <v>4235619.33</v>
      </c>
      <c r="L25" s="260">
        <f t="shared" si="7"/>
        <v>4676123.74</v>
      </c>
      <c r="M25" s="211">
        <f t="shared" si="3"/>
        <v>11800149.9</v>
      </c>
      <c r="N25" s="217">
        <v>15733533.197739594</v>
      </c>
      <c r="O25" s="65"/>
      <c r="P25" s="65"/>
    </row>
    <row r="26" spans="2:16" x14ac:dyDescent="0.35">
      <c r="B26" s="302">
        <v>45383</v>
      </c>
      <c r="C26" s="296">
        <v>0.38</v>
      </c>
      <c r="D26" s="296">
        <f t="shared" si="8"/>
        <v>155.06408999999999</v>
      </c>
      <c r="F26" s="256">
        <v>45689</v>
      </c>
      <c r="G26" s="257">
        <f t="shared" si="1"/>
        <v>80476767.120000005</v>
      </c>
      <c r="H26" s="258">
        <f t="shared" si="9"/>
        <v>80605529.950000003</v>
      </c>
      <c r="I26" s="259">
        <f t="shared" si="5"/>
        <v>0</v>
      </c>
      <c r="J26" s="259">
        <f t="shared" si="6"/>
        <v>128762.83</v>
      </c>
      <c r="K26" s="259">
        <f t="shared" si="2"/>
        <v>4235619.33</v>
      </c>
      <c r="L26" s="260">
        <f t="shared" si="7"/>
        <v>4364382.16</v>
      </c>
      <c r="M26" s="211">
        <f t="shared" si="3"/>
        <v>11800149.9</v>
      </c>
      <c r="N26" s="217">
        <v>15733533.197739594</v>
      </c>
    </row>
    <row r="27" spans="2:16" x14ac:dyDescent="0.35">
      <c r="B27" s="302">
        <v>45413</v>
      </c>
      <c r="C27" s="296">
        <v>0.46</v>
      </c>
      <c r="D27" s="296">
        <f t="shared" si="8"/>
        <v>155.77738500000001</v>
      </c>
      <c r="F27" s="256">
        <v>45717</v>
      </c>
      <c r="G27" s="257">
        <f t="shared" si="1"/>
        <v>76241147.790000007</v>
      </c>
      <c r="H27" s="258">
        <f t="shared" si="9"/>
        <v>77013546.859999999</v>
      </c>
      <c r="I27" s="259">
        <f t="shared" si="5"/>
        <v>0</v>
      </c>
      <c r="J27" s="259">
        <f t="shared" si="6"/>
        <v>772399.07</v>
      </c>
      <c r="K27" s="259">
        <f t="shared" si="2"/>
        <v>4235619.33</v>
      </c>
      <c r="L27" s="260">
        <f t="shared" si="7"/>
        <v>5008018.4000000004</v>
      </c>
      <c r="M27" s="211">
        <f t="shared" si="3"/>
        <v>11800149.9</v>
      </c>
      <c r="N27" s="217">
        <v>15733533.197739594</v>
      </c>
    </row>
    <row r="28" spans="2:16" x14ac:dyDescent="0.35">
      <c r="B28" s="302">
        <v>45444</v>
      </c>
      <c r="C28" s="296">
        <v>0.21</v>
      </c>
      <c r="D28" s="296">
        <f t="shared" si="8"/>
        <v>156.10451800000001</v>
      </c>
      <c r="F28" s="256">
        <v>45748</v>
      </c>
      <c r="G28" s="257">
        <f t="shared" si="1"/>
        <v>72005528.459999993</v>
      </c>
      <c r="H28" s="258">
        <f t="shared" si="9"/>
        <v>72408759.420000002</v>
      </c>
      <c r="I28" s="259">
        <f t="shared" si="5"/>
        <v>0</v>
      </c>
      <c r="J28" s="259">
        <f t="shared" si="6"/>
        <v>403230.96</v>
      </c>
      <c r="K28" s="259">
        <f t="shared" si="2"/>
        <v>4235619.33</v>
      </c>
      <c r="L28" s="260">
        <f t="shared" si="7"/>
        <v>4638850.29</v>
      </c>
      <c r="M28" s="211">
        <f t="shared" si="3"/>
        <v>11800149.9</v>
      </c>
      <c r="N28" s="217">
        <v>15733533.197739594</v>
      </c>
    </row>
    <row r="29" spans="2:16" x14ac:dyDescent="0.35">
      <c r="B29" s="302">
        <v>45474</v>
      </c>
      <c r="C29" s="296">
        <v>0.38</v>
      </c>
      <c r="D29" s="296">
        <f t="shared" si="8"/>
        <v>156.69771499999999</v>
      </c>
      <c r="F29" s="256">
        <v>45778</v>
      </c>
      <c r="G29" s="257">
        <f t="shared" si="1"/>
        <v>67769909.129999995</v>
      </c>
      <c r="H29" s="258">
        <f t="shared" si="9"/>
        <v>68061319.739999995</v>
      </c>
      <c r="I29" s="259">
        <f t="shared" si="5"/>
        <v>0</v>
      </c>
      <c r="J29" s="259">
        <f t="shared" si="6"/>
        <v>291410.61</v>
      </c>
      <c r="K29" s="259">
        <f t="shared" si="2"/>
        <v>4235619.33</v>
      </c>
      <c r="L29" s="260">
        <f t="shared" si="7"/>
        <v>4527029.9400000004</v>
      </c>
      <c r="M29" s="211">
        <f t="shared" si="3"/>
        <v>11800149.9</v>
      </c>
      <c r="N29" s="217">
        <v>15733533.197739594</v>
      </c>
    </row>
    <row r="30" spans="2:16" x14ac:dyDescent="0.35">
      <c r="B30" s="302">
        <v>45505</v>
      </c>
      <c r="C30" s="306">
        <v>-0.02</v>
      </c>
      <c r="D30" s="306">
        <f t="shared" si="8"/>
        <v>156.66637499999999</v>
      </c>
      <c r="F30" s="256">
        <v>45809</v>
      </c>
      <c r="G30" s="257">
        <f>ROUND(H29-L29+I29,2)</f>
        <v>63534289.799999997</v>
      </c>
      <c r="H30" s="258">
        <f t="shared" si="9"/>
        <v>63699478.950000003</v>
      </c>
      <c r="I30" s="259">
        <f t="shared" si="5"/>
        <v>0</v>
      </c>
      <c r="J30" s="259">
        <f t="shared" si="6"/>
        <v>165189.15</v>
      </c>
      <c r="K30" s="259">
        <f t="shared" si="2"/>
        <v>4235619.33</v>
      </c>
      <c r="L30" s="260">
        <f t="shared" si="7"/>
        <v>4400808.4800000004</v>
      </c>
      <c r="M30" s="211">
        <f t="shared" si="3"/>
        <v>11800149.9</v>
      </c>
      <c r="N30" s="217">
        <v>15733533.197739594</v>
      </c>
    </row>
    <row r="31" spans="2:16" x14ac:dyDescent="0.35">
      <c r="B31" s="302">
        <v>45536</v>
      </c>
      <c r="C31" s="296">
        <v>0.44</v>
      </c>
      <c r="D31" s="296">
        <f t="shared" si="8"/>
        <v>157.355707</v>
      </c>
      <c r="E31" s="218"/>
      <c r="F31" s="256">
        <v>45839</v>
      </c>
      <c r="G31" s="257">
        <f t="shared" si="1"/>
        <v>59298670.469999999</v>
      </c>
      <c r="H31" s="258">
        <f t="shared" si="9"/>
        <v>59440987.280000001</v>
      </c>
      <c r="I31" s="259">
        <f t="shared" si="5"/>
        <v>0</v>
      </c>
      <c r="J31" s="259">
        <f t="shared" si="6"/>
        <v>142316.81</v>
      </c>
      <c r="K31" s="259">
        <f t="shared" si="2"/>
        <v>4235619.33</v>
      </c>
      <c r="L31" s="260">
        <f t="shared" si="7"/>
        <v>4377936.1399999997</v>
      </c>
      <c r="M31" s="211">
        <f t="shared" si="3"/>
        <v>11800149.9</v>
      </c>
      <c r="N31" s="217">
        <v>15733533.197739594</v>
      </c>
    </row>
    <row r="32" spans="2:16" x14ac:dyDescent="0.35">
      <c r="B32" s="302">
        <v>45566</v>
      </c>
      <c r="C32" s="296">
        <v>0.56000000000000005</v>
      </c>
      <c r="D32" s="296">
        <f t="shared" si="8"/>
        <v>158.23689899999999</v>
      </c>
      <c r="F32" s="256">
        <v>45870</v>
      </c>
      <c r="G32" s="257">
        <f t="shared" si="1"/>
        <v>55063051.140000001</v>
      </c>
      <c r="H32" s="258">
        <f t="shared" si="9"/>
        <v>55206215.07</v>
      </c>
      <c r="I32" s="259">
        <f t="shared" si="5"/>
        <v>0</v>
      </c>
      <c r="J32" s="259">
        <f t="shared" si="6"/>
        <v>143163.93</v>
      </c>
      <c r="K32" s="259">
        <f t="shared" si="2"/>
        <v>4235619.33</v>
      </c>
      <c r="L32" s="260">
        <f t="shared" si="7"/>
        <v>4378783.26</v>
      </c>
      <c r="M32" s="211">
        <f t="shared" si="3"/>
        <v>11800149.9</v>
      </c>
      <c r="N32" s="217">
        <v>15733533.197739594</v>
      </c>
    </row>
    <row r="33" spans="2:14" x14ac:dyDescent="0.35">
      <c r="B33" s="302">
        <v>45597</v>
      </c>
      <c r="C33" s="296">
        <v>0.39</v>
      </c>
      <c r="D33" s="296">
        <f t="shared" si="8"/>
        <v>158.85402300000001</v>
      </c>
      <c r="F33" s="256">
        <v>45901</v>
      </c>
      <c r="G33" s="257">
        <f t="shared" si="1"/>
        <v>50827431.810000002</v>
      </c>
      <c r="H33" s="258">
        <f t="shared" si="9"/>
        <v>50827431.810000002</v>
      </c>
      <c r="I33" s="259">
        <f t="shared" si="5"/>
        <v>0</v>
      </c>
      <c r="J33" s="259">
        <f>ROUND(H33-G33,2)</f>
        <v>0</v>
      </c>
      <c r="K33" s="259">
        <f t="shared" si="2"/>
        <v>4235619.33</v>
      </c>
      <c r="L33" s="260">
        <f t="shared" si="7"/>
        <v>4235619.33</v>
      </c>
      <c r="M33" s="211">
        <f t="shared" si="3"/>
        <v>11800149.9</v>
      </c>
      <c r="N33" s="217">
        <v>15733533.197739594</v>
      </c>
    </row>
    <row r="34" spans="2:14" x14ac:dyDescent="0.35">
      <c r="B34" s="302">
        <v>45627</v>
      </c>
      <c r="C34" s="296">
        <v>0.52</v>
      </c>
      <c r="D34" s="296">
        <f t="shared" si="8"/>
        <v>159.68006399999999</v>
      </c>
      <c r="F34" s="256">
        <v>45931</v>
      </c>
      <c r="G34" s="257">
        <f t="shared" si="1"/>
        <v>46591812.479999997</v>
      </c>
      <c r="H34" s="258">
        <f t="shared" si="9"/>
        <v>46815453.18</v>
      </c>
      <c r="I34" s="259">
        <f>IF(M34&gt;L34,0,L34-M34)</f>
        <v>0</v>
      </c>
      <c r="J34" s="259">
        <f>ROUND(H34-G34,2)</f>
        <v>223640.7</v>
      </c>
      <c r="K34" s="259">
        <f t="shared" si="2"/>
        <v>4235619.33</v>
      </c>
      <c r="L34" s="260">
        <f t="shared" si="7"/>
        <v>4459260.03</v>
      </c>
      <c r="M34" s="211">
        <f t="shared" si="3"/>
        <v>11800149.9</v>
      </c>
      <c r="N34" s="217">
        <v>15733533.197739594</v>
      </c>
    </row>
    <row r="35" spans="2:14" x14ac:dyDescent="0.35">
      <c r="B35" s="302">
        <v>45658</v>
      </c>
      <c r="C35" s="296">
        <v>0.16</v>
      </c>
      <c r="D35" s="296">
        <f t="shared" si="8"/>
        <v>159.935552</v>
      </c>
      <c r="F35" s="314">
        <v>45962</v>
      </c>
      <c r="G35" s="315">
        <f t="shared" si="1"/>
        <v>42356193.149999999</v>
      </c>
      <c r="H35" s="226">
        <f t="shared" si="9"/>
        <v>42394313.719999999</v>
      </c>
      <c r="I35" s="225">
        <f t="shared" si="5"/>
        <v>0</v>
      </c>
      <c r="J35" s="225">
        <f t="shared" si="6"/>
        <v>38120.57</v>
      </c>
      <c r="K35" s="225">
        <f t="shared" si="2"/>
        <v>4235619.33</v>
      </c>
      <c r="L35" s="316">
        <f t="shared" si="7"/>
        <v>4273739.9000000004</v>
      </c>
      <c r="M35" s="211">
        <f t="shared" si="3"/>
        <v>11800149.9</v>
      </c>
      <c r="N35" s="217">
        <v>15733533.197739594</v>
      </c>
    </row>
    <row r="36" spans="2:14" x14ac:dyDescent="0.35">
      <c r="B36" s="302">
        <v>45689</v>
      </c>
      <c r="C36" s="296">
        <v>1.0130999999999999</v>
      </c>
      <c r="D36" s="296">
        <f t="shared" si="8"/>
        <v>161.555859</v>
      </c>
      <c r="F36" s="314">
        <v>45992</v>
      </c>
      <c r="G36" s="315">
        <f t="shared" si="1"/>
        <v>38120573.82</v>
      </c>
      <c r="H36" s="226">
        <f t="shared" si="9"/>
        <v>38189190.850000001</v>
      </c>
      <c r="I36" s="225">
        <f t="shared" si="5"/>
        <v>0</v>
      </c>
      <c r="J36" s="225">
        <f t="shared" si="6"/>
        <v>68617.03</v>
      </c>
      <c r="K36" s="225">
        <f t="shared" si="2"/>
        <v>4235619.33</v>
      </c>
      <c r="L36" s="316">
        <f t="shared" si="7"/>
        <v>4304236.3600000003</v>
      </c>
      <c r="M36" s="211">
        <f t="shared" si="3"/>
        <v>11800149.9</v>
      </c>
      <c r="N36" s="217">
        <v>15733533.197739594</v>
      </c>
    </row>
    <row r="37" spans="2:14" x14ac:dyDescent="0.35">
      <c r="B37" s="302">
        <v>45717</v>
      </c>
      <c r="C37" s="296">
        <v>0.56000000000000005</v>
      </c>
      <c r="D37" s="296">
        <f t="shared" si="8"/>
        <v>162.46057200000001</v>
      </c>
      <c r="F37" s="314">
        <v>46023</v>
      </c>
      <c r="G37" s="315">
        <f>ROUND(H36-L36+I36,2)</f>
        <v>33884954.490000002</v>
      </c>
      <c r="H37" s="226">
        <f>ROUND(G37*IF(C46&gt;0,(1+C46%),1),2)</f>
        <v>33996774.840000004</v>
      </c>
      <c r="I37" s="225">
        <f t="shared" si="5"/>
        <v>0</v>
      </c>
      <c r="J37" s="225">
        <f>ROUND(H37-G37,2)</f>
        <v>111820.35</v>
      </c>
      <c r="K37" s="225">
        <f>ROUND((H$10/35),2)</f>
        <v>4235619.33</v>
      </c>
      <c r="L37" s="316">
        <f t="shared" si="7"/>
        <v>4347439.68</v>
      </c>
      <c r="M37" s="211">
        <f t="shared" si="3"/>
        <v>11800149.9</v>
      </c>
      <c r="N37" s="217">
        <v>15733533.197739594</v>
      </c>
    </row>
    <row r="38" spans="2:14" x14ac:dyDescent="0.35">
      <c r="B38" s="302">
        <v>45748</v>
      </c>
      <c r="C38" s="296">
        <v>0.43</v>
      </c>
      <c r="D38" s="296">
        <f t="shared" si="8"/>
        <v>163.15915200000001</v>
      </c>
      <c r="F38" s="314">
        <v>46054</v>
      </c>
      <c r="G38" s="315">
        <f t="shared" si="1"/>
        <v>29649335.16</v>
      </c>
      <c r="H38" s="226">
        <f t="shared" si="9"/>
        <v>29747177.969999999</v>
      </c>
      <c r="I38" s="225">
        <f t="shared" si="5"/>
        <v>0</v>
      </c>
      <c r="J38" s="225">
        <f>ROUND(H38-G38,2)</f>
        <v>97842.81</v>
      </c>
      <c r="K38" s="225">
        <f t="shared" si="2"/>
        <v>4235619.33</v>
      </c>
      <c r="L38" s="316">
        <f>J38+K38</f>
        <v>4333462.1399999997</v>
      </c>
      <c r="M38" s="211">
        <f t="shared" si="3"/>
        <v>11800149.9</v>
      </c>
      <c r="N38" s="217">
        <v>15733533.197739594</v>
      </c>
    </row>
    <row r="39" spans="2:14" x14ac:dyDescent="0.35">
      <c r="B39" s="302">
        <v>45778</v>
      </c>
      <c r="C39" s="296">
        <v>0.26</v>
      </c>
      <c r="D39" s="296">
        <f t="shared" si="8"/>
        <v>163.58336600000001</v>
      </c>
      <c r="F39" s="204">
        <v>46082</v>
      </c>
      <c r="G39" s="208">
        <f t="shared" si="1"/>
        <v>25413715.829999998</v>
      </c>
      <c r="H39" s="209">
        <f t="shared" si="9"/>
        <v>25563182.5</v>
      </c>
      <c r="I39" s="210">
        <f t="shared" si="5"/>
        <v>0</v>
      </c>
      <c r="J39" s="210">
        <f t="shared" si="6"/>
        <v>149466.67000000001</v>
      </c>
      <c r="K39" s="210">
        <f t="shared" si="2"/>
        <v>4235619.33</v>
      </c>
      <c r="L39" s="211">
        <f t="shared" si="7"/>
        <v>4385086</v>
      </c>
      <c r="M39" s="211">
        <f t="shared" si="3"/>
        <v>11800149.9</v>
      </c>
      <c r="N39" s="217">
        <v>15733533.197739594</v>
      </c>
    </row>
    <row r="40" spans="2:14" x14ac:dyDescent="0.35">
      <c r="B40" s="302">
        <v>45809</v>
      </c>
      <c r="C40" s="296">
        <v>0.24</v>
      </c>
      <c r="D40" s="296">
        <f t="shared" si="8"/>
        <v>163.975966</v>
      </c>
      <c r="F40" s="204">
        <v>46113</v>
      </c>
      <c r="G40" s="208">
        <f t="shared" si="1"/>
        <v>21178096.5</v>
      </c>
      <c r="H40" s="209">
        <f t="shared" si="9"/>
        <v>21302652.059999999</v>
      </c>
      <c r="I40" s="210">
        <f t="shared" si="5"/>
        <v>0</v>
      </c>
      <c r="J40" s="210">
        <f t="shared" si="6"/>
        <v>124555.56</v>
      </c>
      <c r="K40" s="210">
        <f t="shared" si="2"/>
        <v>4235619.33</v>
      </c>
      <c r="L40" s="211">
        <f t="shared" si="7"/>
        <v>4360174.8899999997</v>
      </c>
      <c r="M40" s="211">
        <f t="shared" si="3"/>
        <v>11800149.9</v>
      </c>
      <c r="N40" s="217">
        <v>15733533.197739594</v>
      </c>
    </row>
    <row r="41" spans="2:14" x14ac:dyDescent="0.35">
      <c r="B41" s="302">
        <v>45839</v>
      </c>
      <c r="C41" s="296">
        <v>0.26</v>
      </c>
      <c r="D41" s="296">
        <f t="shared" si="8"/>
        <v>164.40230399999999</v>
      </c>
      <c r="F41" s="204">
        <v>46143</v>
      </c>
      <c r="G41" s="208">
        <f t="shared" si="1"/>
        <v>16942477.170000002</v>
      </c>
      <c r="H41" s="209">
        <f t="shared" si="9"/>
        <v>17042121.620000001</v>
      </c>
      <c r="I41" s="210">
        <f t="shared" si="5"/>
        <v>0</v>
      </c>
      <c r="J41" s="210">
        <f t="shared" si="6"/>
        <v>99644.45</v>
      </c>
      <c r="K41" s="210">
        <f t="shared" si="2"/>
        <v>4235619.33</v>
      </c>
      <c r="L41" s="211">
        <f t="shared" si="7"/>
        <v>4335263.78</v>
      </c>
      <c r="M41" s="211">
        <f t="shared" si="3"/>
        <v>11800149.9</v>
      </c>
      <c r="N41" s="217">
        <v>15733533.197739594</v>
      </c>
    </row>
    <row r="42" spans="2:14" x14ac:dyDescent="0.35">
      <c r="B42" s="302">
        <v>45870</v>
      </c>
      <c r="C42" s="296">
        <v>-0.11</v>
      </c>
      <c r="D42" s="296">
        <f t="shared" si="8"/>
        <v>164.22146100000001</v>
      </c>
      <c r="F42" s="204">
        <v>46174</v>
      </c>
      <c r="G42" s="208">
        <f t="shared" si="1"/>
        <v>12706857.84</v>
      </c>
      <c r="H42" s="209">
        <f t="shared" si="9"/>
        <v>12781591.18</v>
      </c>
      <c r="I42" s="210">
        <f t="shared" si="5"/>
        <v>0</v>
      </c>
      <c r="J42" s="210">
        <f t="shared" si="6"/>
        <v>74733.34</v>
      </c>
      <c r="K42" s="210">
        <f t="shared" si="2"/>
        <v>4235619.33</v>
      </c>
      <c r="L42" s="211">
        <f t="shared" si="7"/>
        <v>4310352.67</v>
      </c>
      <c r="M42" s="211">
        <f t="shared" si="3"/>
        <v>11800149.9</v>
      </c>
      <c r="N42" s="217">
        <v>15733533.197739594</v>
      </c>
    </row>
    <row r="43" spans="2:14" x14ac:dyDescent="0.35">
      <c r="B43" s="197">
        <v>45901</v>
      </c>
      <c r="C43" s="296">
        <v>0.48</v>
      </c>
      <c r="D43" s="296">
        <f t="shared" si="8"/>
        <v>165.00972400000001</v>
      </c>
      <c r="F43" s="204">
        <v>46204</v>
      </c>
      <c r="G43" s="208">
        <f t="shared" si="1"/>
        <v>8471238.5099999998</v>
      </c>
      <c r="H43" s="209">
        <f t="shared" si="9"/>
        <v>8521060.7300000004</v>
      </c>
      <c r="I43" s="210">
        <f t="shared" si="5"/>
        <v>0</v>
      </c>
      <c r="J43" s="210">
        <f t="shared" si="6"/>
        <v>49822.22</v>
      </c>
      <c r="K43" s="210">
        <f t="shared" si="2"/>
        <v>4235619.33</v>
      </c>
      <c r="L43" s="211">
        <f t="shared" si="7"/>
        <v>4285441.55</v>
      </c>
      <c r="M43" s="211">
        <f t="shared" si="3"/>
        <v>11800149.9</v>
      </c>
      <c r="N43" s="217">
        <v>15733533.197739594</v>
      </c>
    </row>
    <row r="44" spans="2:14" x14ac:dyDescent="0.35">
      <c r="B44" s="197">
        <v>45931</v>
      </c>
      <c r="C44" s="296">
        <v>0.09</v>
      </c>
      <c r="D44" s="296">
        <f t="shared" si="8"/>
        <v>165.158233</v>
      </c>
      <c r="F44" s="204">
        <v>46235</v>
      </c>
      <c r="G44" s="208">
        <f>ROUND(H43-L43+I43,2)</f>
        <v>4235619.18</v>
      </c>
      <c r="H44" s="209">
        <f t="shared" si="9"/>
        <v>4260530.29</v>
      </c>
      <c r="I44" s="210">
        <f t="shared" si="5"/>
        <v>0</v>
      </c>
      <c r="J44" s="210">
        <f>ROUND(H44-G44,2)</f>
        <v>24911.11</v>
      </c>
      <c r="K44" s="210">
        <f t="shared" si="2"/>
        <v>4235619.33</v>
      </c>
      <c r="L44" s="211">
        <f t="shared" si="7"/>
        <v>4260530.4400000004</v>
      </c>
      <c r="M44" s="211">
        <f t="shared" si="3"/>
        <v>11800149.9</v>
      </c>
      <c r="N44" s="217">
        <v>15733533.197739594</v>
      </c>
    </row>
    <row r="45" spans="2:14" x14ac:dyDescent="0.35">
      <c r="B45" s="197">
        <v>45962</v>
      </c>
      <c r="C45" s="296">
        <v>0.18</v>
      </c>
      <c r="D45" s="296">
        <f t="shared" si="8"/>
        <v>165.45551800000001</v>
      </c>
      <c r="F45" s="219">
        <v>46266</v>
      </c>
      <c r="G45" s="220">
        <f>IF(ROUND(H44-L44+I44,2)&lt;1,0)</f>
        <v>0</v>
      </c>
      <c r="H45" s="221">
        <f t="shared" si="4"/>
        <v>0</v>
      </c>
      <c r="I45" s="222">
        <f t="shared" si="5"/>
        <v>0</v>
      </c>
      <c r="J45" s="222">
        <f t="shared" si="6"/>
        <v>0</v>
      </c>
      <c r="K45" s="222">
        <f t="shared" si="2"/>
        <v>4235619.33</v>
      </c>
      <c r="L45" s="223">
        <f t="shared" si="7"/>
        <v>4235619.33</v>
      </c>
      <c r="M45" s="223">
        <f t="shared" si="3"/>
        <v>11800149.9</v>
      </c>
      <c r="N45" s="217">
        <v>15733533.197739594</v>
      </c>
    </row>
    <row r="46" spans="2:14" x14ac:dyDescent="0.35">
      <c r="B46" s="197">
        <v>45992</v>
      </c>
      <c r="C46" s="296">
        <v>0.33</v>
      </c>
      <c r="D46" s="296">
        <f t="shared" si="8"/>
        <v>166.001521</v>
      </c>
      <c r="F46" s="224"/>
      <c r="G46" s="209"/>
      <c r="H46" s="209"/>
      <c r="I46" s="210"/>
      <c r="J46" s="210"/>
      <c r="K46" s="225"/>
      <c r="L46" s="209"/>
      <c r="M46" s="226"/>
      <c r="N46" s="227"/>
    </row>
    <row r="47" spans="2:14" x14ac:dyDescent="0.35">
      <c r="B47" s="197">
        <v>46023</v>
      </c>
      <c r="C47" s="296">
        <v>0.33</v>
      </c>
      <c r="D47" s="296">
        <f t="shared" si="8"/>
        <v>166.54932600000001</v>
      </c>
      <c r="F47" s="224"/>
      <c r="G47" s="209"/>
      <c r="H47" s="209"/>
      <c r="I47" s="210"/>
      <c r="J47" s="210"/>
      <c r="K47" s="210"/>
      <c r="L47" s="209"/>
      <c r="M47" s="226"/>
      <c r="N47" s="227"/>
    </row>
    <row r="48" spans="2:14" x14ac:dyDescent="0.35">
      <c r="B48" s="197">
        <v>46054</v>
      </c>
      <c r="C48" s="214">
        <v>0.58813388458481664</v>
      </c>
      <c r="D48" s="215">
        <f t="shared" si="8"/>
        <v>167.52885900000001</v>
      </c>
      <c r="F48" s="216" t="s">
        <v>237</v>
      </c>
    </row>
    <row r="49" spans="2:10" x14ac:dyDescent="0.35">
      <c r="B49" s="197">
        <v>46082</v>
      </c>
      <c r="C49" s="214">
        <v>0.58813388458481664</v>
      </c>
      <c r="D49" s="215">
        <f t="shared" si="8"/>
        <v>168.51415299999999</v>
      </c>
      <c r="F49" s="216"/>
    </row>
    <row r="50" spans="2:10" x14ac:dyDescent="0.35">
      <c r="B50" s="197">
        <v>46113</v>
      </c>
      <c r="C50" s="214">
        <v>0.58813388458481664</v>
      </c>
      <c r="D50" s="215">
        <f t="shared" si="8"/>
        <v>169.50524200000001</v>
      </c>
    </row>
    <row r="51" spans="2:10" x14ac:dyDescent="0.35">
      <c r="B51" s="197">
        <v>46143</v>
      </c>
      <c r="C51" s="214">
        <v>0.58813388458481664</v>
      </c>
      <c r="D51" s="215">
        <f t="shared" si="8"/>
        <v>170.50216</v>
      </c>
    </row>
    <row r="52" spans="2:10" x14ac:dyDescent="0.35">
      <c r="B52" s="197">
        <v>46174</v>
      </c>
      <c r="C52" s="214">
        <v>0.58813388458481664</v>
      </c>
      <c r="D52" s="215">
        <f t="shared" si="8"/>
        <v>171.504941</v>
      </c>
    </row>
    <row r="53" spans="2:10" x14ac:dyDescent="0.35">
      <c r="B53" s="197">
        <v>46204</v>
      </c>
      <c r="C53" s="214">
        <v>0.58813388458481664</v>
      </c>
      <c r="D53" s="215">
        <f t="shared" si="8"/>
        <v>172.51362</v>
      </c>
    </row>
    <row r="54" spans="2:10" x14ac:dyDescent="0.35">
      <c r="B54" s="197">
        <v>46235</v>
      </c>
      <c r="C54" s="214">
        <v>0.58813388458481664</v>
      </c>
      <c r="D54" s="215">
        <f t="shared" si="8"/>
        <v>173.52823100000001</v>
      </c>
    </row>
    <row r="55" spans="2:10" x14ac:dyDescent="0.35">
      <c r="B55" s="197">
        <v>46266</v>
      </c>
      <c r="C55" s="214">
        <v>0.58813388458481664</v>
      </c>
      <c r="D55" s="215">
        <f t="shared" si="8"/>
        <v>174.54880900000001</v>
      </c>
    </row>
    <row r="56" spans="2:10" x14ac:dyDescent="0.35">
      <c r="B56" s="216" t="s">
        <v>238</v>
      </c>
    </row>
    <row r="58" spans="2:10" x14ac:dyDescent="0.35">
      <c r="J58" s="68"/>
    </row>
    <row r="59" spans="2:10" x14ac:dyDescent="0.35">
      <c r="J59" s="68"/>
    </row>
    <row r="60" spans="2:10" x14ac:dyDescent="0.35">
      <c r="J60" s="68"/>
    </row>
    <row r="63" spans="2:10" x14ac:dyDescent="0.35">
      <c r="J63" s="65"/>
    </row>
    <row r="69" spans="3:3" x14ac:dyDescent="0.35">
      <c r="C69" s="228"/>
    </row>
  </sheetData>
  <mergeCells count="5">
    <mergeCell ref="A2:N4"/>
    <mergeCell ref="G6:N6"/>
    <mergeCell ref="G7:N7"/>
    <mergeCell ref="B8:C8"/>
    <mergeCell ref="B18:C1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21" formula="1"/>
  </ignoredErrors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5"/>
  <dimension ref="B1:L19"/>
  <sheetViews>
    <sheetView showGridLines="0" workbookViewId="0">
      <selection activeCell="B8" sqref="B8"/>
    </sheetView>
  </sheetViews>
  <sheetFormatPr defaultRowHeight="14.5" x14ac:dyDescent="0.35"/>
  <cols>
    <col min="1" max="1" width="3.81640625" customWidth="1"/>
    <col min="2" max="2" width="13.1796875" customWidth="1"/>
    <col min="7" max="8" width="9.26953125" style="30" customWidth="1"/>
    <col min="9" max="11" width="13" customWidth="1"/>
    <col min="12" max="12" width="14.26953125" bestFit="1" customWidth="1"/>
  </cols>
  <sheetData>
    <row r="1" spans="2:12" x14ac:dyDescent="0.35">
      <c r="B1" s="419" t="s">
        <v>104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</row>
    <row r="2" spans="2:12" x14ac:dyDescent="0.35"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</row>
    <row r="3" spans="2:12" x14ac:dyDescent="0.35"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</row>
    <row r="4" spans="2:12" ht="15" thickBot="1" x14ac:dyDescent="0.4"/>
    <row r="5" spans="2:12" ht="43.5" x14ac:dyDescent="0.35">
      <c r="B5" s="46" t="s">
        <v>109</v>
      </c>
      <c r="C5" s="49" t="s">
        <v>105</v>
      </c>
      <c r="D5" s="49" t="s">
        <v>106</v>
      </c>
      <c r="E5" s="49" t="s">
        <v>107</v>
      </c>
      <c r="F5" s="49" t="s">
        <v>108</v>
      </c>
      <c r="G5" s="49" t="s">
        <v>112</v>
      </c>
      <c r="H5" s="49" t="s">
        <v>113</v>
      </c>
      <c r="I5" s="46" t="s">
        <v>110</v>
      </c>
      <c r="J5" s="46" t="s">
        <v>111</v>
      </c>
      <c r="K5" s="45" t="s">
        <v>6</v>
      </c>
      <c r="L5" s="13" t="s">
        <v>11</v>
      </c>
    </row>
    <row r="6" spans="2:12" x14ac:dyDescent="0.35">
      <c r="B6" s="16">
        <v>43161</v>
      </c>
      <c r="C6" s="32" t="s">
        <v>123</v>
      </c>
      <c r="D6" s="32" t="s">
        <v>123</v>
      </c>
      <c r="E6" s="14" t="e">
        <f>IF(VLOOKUP($B6-1,'NF Diesel'!$T$5:$Z$19,7,0)="SIM",VLOOKUP($B6,'NF Diesel'!$B$5:$H$58,6,0)/VLOOKUP($B6,'NF Diesel'!$B$5:$H$58,3,0),IF(VLOOKUP($B6-1,'NF Diesel'!$T$5:$Z$19,4,0)&gt;VLOOKUP($B6-1,'NF Diesel'!$T$5:$Z$19,3,0),VLOOKUP($B6,'NF Diesel'!$B$5:$H$58,6,0)/VLOOKUP($B6,'NF Diesel'!$B$5:$H$58,3,0),IF(VLOOKUP($B6-1,'NF Diesel'!$T$5:$Z$19,4,0)&gt;VLOOKUP($B5-1,'NF Diesel'!$T$5:$Z$19,3,0),VLOOKUP($B5,'NF Diesel'!$B$5:$H$58,6,0)/VLOOKUP($B5,'NF Diesel'!$B$5:$H$58,3,0),Tributos!E5)))</f>
        <v>#N/A</v>
      </c>
      <c r="F6" s="32" t="s">
        <v>123</v>
      </c>
      <c r="G6" s="32" t="s">
        <v>123</v>
      </c>
      <c r="H6" s="32" t="s">
        <v>123</v>
      </c>
      <c r="I6" s="32" t="s">
        <v>123</v>
      </c>
      <c r="J6" s="32" t="s">
        <v>123</v>
      </c>
      <c r="K6" s="32" t="s">
        <v>123</v>
      </c>
      <c r="L6" s="15"/>
    </row>
    <row r="7" spans="2:12" x14ac:dyDescent="0.35">
      <c r="B7" s="16">
        <v>43587</v>
      </c>
      <c r="C7" s="14" t="e">
        <f>IF(VLOOKUP($B7-1,'NF Diesel'!$T$5:$Z$19,7,0)="SIM",VLOOKUP($B7,'NF Diesel'!$B$5:$H$58,7,0)/VLOOKUP($B7,'NF Diesel'!$B$5:$H$58,3,0),IF(VLOOKUP($B7-1,'NF Diesel'!$T$5:$Z$19,4,0)&gt;VLOOKUP($B7-1,'NF Diesel'!$T$5:$Z$19,3,0),VLOOKUP($B7,'NF Diesel'!$B$5:$H$58,7,0)/VLOOKUP($B7,'NF Diesel'!$B$5:$H$58,3,0),IF(VLOOKUP($B7-1,'NF Diesel'!$T$5:$Z$19,4,0)&gt;VLOOKUP($B6-1,'NF Diesel'!$T$5:$Z$19,3,0),VLOOKUP($B6,'NF Diesel'!$B$5:$H$58,7,0)/VLOOKUP($B6,'NF Diesel'!$B$5:$H$58,3,0),Tributos!C6)))</f>
        <v>#N/A</v>
      </c>
      <c r="D7" s="14" t="e">
        <f>IF(VLOOKUP($B7-1,'NF Óleo Comb'!$J$5:$P$17,7,0)="SIM",VLOOKUP($B7,'NF Óleo Comb'!$B$5:$H$74,6,0)/VLOOKUP($B7,'NF Óleo Comb'!$B$5:$H$74,3,0),IF(VLOOKUP($B7-1,'NF Óleo Comb'!$J$5:$P$17,4,0)&gt;VLOOKUP($B7-1,'NF Óleo Comb'!$J$5:$P$17,3,0),VLOOKUP($B7,'NF Óleo Comb'!$B$5:$H$74,6,0)/VLOOKUP($B7,'NF Óleo Comb'!$B$5:$H$74,3,0),IF(VLOOKUP($B7-1,'NF Óleo Comb'!$J$5:$P$17,4,0)&gt;VLOOKUP($B6-1,'NF Óleo Comb'!$J$5:$P$17,3,0),VLOOKUP($B6,'NF Óleo Comb'!$B$5:$H$74,6,0)/VLOOKUP($B6,'NF Óleo Comb'!$B$5:$H$74,3,0),Tributos!D6)))</f>
        <v>#N/A</v>
      </c>
      <c r="E7" s="14" t="e">
        <f>IF(VLOOKUP($B7-1,'NF Diesel'!$T$5:$Z$19,7,0)="SIM",VLOOKUP($B7,'NF Diesel'!$B$5:$H$58,6,0)/VLOOKUP($B7,'NF Diesel'!$B$5:$H$58,3,0),IF(VLOOKUP($B7-1,'NF Diesel'!$T$5:$Z$19,4,0)&gt;VLOOKUP($B7-1,'NF Diesel'!$T$5:$Z$19,3,0),VLOOKUP($B7,'NF Diesel'!$B$5:$H$58,6,0)/VLOOKUP($B7,'NF Diesel'!$B$5:$H$58,3,0),IF(VLOOKUP($B7-1,'NF Diesel'!$T$5:$Z$19,4,0)&gt;VLOOKUP($B6-1,'NF Diesel'!$T$5:$Z$19,3,0),VLOOKUP($B6,'NF Diesel'!$B$5:$H$58,6,0)/VLOOKUP($B6,'NF Diesel'!$B$5:$H$58,3,0),Tributos!E6)))</f>
        <v>#N/A</v>
      </c>
      <c r="F7" s="14" t="e">
        <f>IF(VLOOKUP($B7-1,'NF Óleo Comb'!$J$5:$P$17,7,0)="SIM",VLOOKUP($B7,'NF Óleo Comb'!$B$5:$H$74,5,0)/VLOOKUP($B7,'NF Óleo Comb'!$B$5:$H$74,3,0),IF(VLOOKUP($B7-1,'NF Óleo Comb'!$J$5:$P$17,4,0)&gt;VLOOKUP($B7-1,'NF Óleo Comb'!$J$5:$P$17,3,0),VLOOKUP($B7,'NF Óleo Comb'!$B$5:$H$74,5,0)/VLOOKUP($B7,'NF Óleo Comb'!$B$5:$H$74,3,0),IF(VLOOKUP($B7-1,'NF Óleo Comb'!$J$5:$P$17,4,0)&gt;VLOOKUP($B6-1,'NF Óleo Comb'!$J$5:$P$17,3,0),VLOOKUP($B6,'NF Óleo Comb'!$B$5:$H$74,5,0)/VLOOKUP($B6,'NF Óleo Comb'!$B$5:$H$74,3,0),Tributos!F6)))</f>
        <v>#N/A</v>
      </c>
      <c r="G7" s="32" t="s">
        <v>123</v>
      </c>
      <c r="H7" s="32" t="s">
        <v>123</v>
      </c>
      <c r="I7" s="32" t="s">
        <v>123</v>
      </c>
      <c r="J7" s="32" t="s">
        <v>123</v>
      </c>
      <c r="K7" s="32" t="s">
        <v>123</v>
      </c>
      <c r="L7" s="15"/>
    </row>
    <row r="8" spans="2:12" x14ac:dyDescent="0.35">
      <c r="B8" s="16">
        <v>44198</v>
      </c>
      <c r="C8" s="14" t="e">
        <f>IF(VLOOKUP($B8-1,'NF Diesel'!$T$5:$Z$19,7,0)="SIM",VLOOKUP($B8,'NF Diesel'!$B$5:$H$58,7,0)/VLOOKUP($B8,'NF Diesel'!$B$5:$H$58,3,0),IF(VLOOKUP($B8-1,'NF Diesel'!$T$5:$Z$19,4,0)&gt;VLOOKUP($B8-1,'NF Diesel'!$T$5:$Z$19,3,0),VLOOKUP($B8,'NF Diesel'!$B$5:$H$58,7,0)/VLOOKUP($B8,'NF Diesel'!$B$5:$H$58,3,0),IF(VLOOKUP($B8-1,'NF Diesel'!$T$5:$Z$19,4,0)&gt;VLOOKUP($B7-1,'NF Diesel'!$T$5:$Z$19,3,0),VLOOKUP($B7,'NF Diesel'!$B$5:$H$58,7,0)/VLOOKUP($B7,'NF Diesel'!$B$5:$H$58,3,0),Tributos!C7)))</f>
        <v>#N/A</v>
      </c>
      <c r="D8" s="14" t="e">
        <f>IF(VLOOKUP($B8-1,'NF Óleo Comb'!$J$5:$P$17,7,0)="SIM",VLOOKUP($B8,'NF Óleo Comb'!$B$5:$H$74,6,0)/VLOOKUP($B8,'NF Óleo Comb'!$B$5:$H$74,3,0),IF(VLOOKUP($B8-1,'NF Óleo Comb'!$J$5:$P$17,4,0)&gt;VLOOKUP($B8-1,'NF Óleo Comb'!$J$5:$P$17,3,0),VLOOKUP($B8,'NF Óleo Comb'!$B$5:$H$74,6,0)/VLOOKUP($B8,'NF Óleo Comb'!$B$5:$H$74,3,0),IF(VLOOKUP($B8-1,'NF Óleo Comb'!$J$5:$P$17,4,0)&gt;VLOOKUP($B7-1,'NF Óleo Comb'!$J$5:$P$17,3,0),VLOOKUP($B7,'NF Óleo Comb'!$B$5:$H$74,6,0)/VLOOKUP($B7,'NF Óleo Comb'!$B$5:$H$74,3,0),Tributos!D7)))</f>
        <v>#N/A</v>
      </c>
      <c r="E8" s="14" t="e">
        <f>IF(VLOOKUP($B8-1,'NF Diesel'!$T$5:$Z$19,7,0)="SIM",VLOOKUP($B8,'NF Diesel'!$B$5:$H$58,6,0)/VLOOKUP($B8,'NF Diesel'!$B$5:$H$58,3,0),IF(VLOOKUP($B8-1,'NF Diesel'!$T$5:$Z$19,4,0)&gt;VLOOKUP($B8-1,'NF Diesel'!$T$5:$Z$19,3,0),VLOOKUP($B8,'NF Diesel'!$B$5:$H$58,6,0)/VLOOKUP($B8,'NF Diesel'!$B$5:$H$58,3,0),IF(VLOOKUP($B8-1,'NF Diesel'!$T$5:$Z$19,4,0)&gt;VLOOKUP($B7-1,'NF Diesel'!$T$5:$Z$19,3,0),VLOOKUP($B7,'NF Diesel'!$B$5:$H$58,6,0)/VLOOKUP($B7,'NF Diesel'!$B$5:$H$58,3,0),Tributos!E7)))</f>
        <v>#N/A</v>
      </c>
      <c r="F8" s="14" t="e">
        <f>IF(VLOOKUP($B8-1,'NF Óleo Comb'!$J$5:$P$17,7,0)="SIM",VLOOKUP($B8,'NF Óleo Comb'!$B$5:$H$74,5,0)/VLOOKUP($B8,'NF Óleo Comb'!$B$5:$H$74,3,0),IF(VLOOKUP($B8-1,'NF Óleo Comb'!$J$5:$P$17,4,0)&gt;VLOOKUP($B8-1,'NF Óleo Comb'!$J$5:$P$17,3,0),VLOOKUP($B8,'NF Óleo Comb'!$B$5:$H$74,5,0)/VLOOKUP($B8,'NF Óleo Comb'!$B$5:$H$74,3,0),IF(VLOOKUP($B8-1,'NF Óleo Comb'!$J$5:$P$17,4,0)&gt;VLOOKUP($B7-1,'NF Óleo Comb'!$J$5:$P$17,3,0),VLOOKUP($B7,'NF Óleo Comb'!$B$5:$H$74,5,0)/VLOOKUP($B7,'NF Óleo Comb'!$B$5:$H$74,3,0),Tributos!F7)))</f>
        <v>#N/A</v>
      </c>
      <c r="G8" s="32" t="e">
        <f>VLOOKUP(EOMONTH($B8,0),SCD!$B$6:$H$65,4,0)*1000</f>
        <v>#N/A</v>
      </c>
      <c r="H8" s="32" t="e">
        <f>VLOOKUP(EOMONTH($B8,0),SCD!$B$6:$H$65,5,0)*1000</f>
        <v>#N/A</v>
      </c>
      <c r="I8" s="19">
        <v>1</v>
      </c>
      <c r="J8" s="19">
        <v>0</v>
      </c>
      <c r="K8" s="19">
        <f>Parâmetros!$D$6</f>
        <v>1</v>
      </c>
      <c r="L8" s="15" t="e">
        <f t="shared" ref="L8:L13" si="0">(C8*G8*(1-J8)+D8*H8*(1-J8)+E8*G8*(1-I8)+F8*H8*(1-I8))*K8</f>
        <v>#N/A</v>
      </c>
    </row>
    <row r="9" spans="2:12" x14ac:dyDescent="0.35">
      <c r="B9" s="16">
        <v>44229</v>
      </c>
      <c r="C9" s="14" t="e">
        <f>IF(VLOOKUP($B9-1,'NF Diesel'!$T$5:$Z$19,7,0)="SIM",VLOOKUP($B9,'NF Diesel'!$B$5:$H$58,7,0)/VLOOKUP($B9,'NF Diesel'!$B$5:$H$58,3,0),IF(VLOOKUP($B9-1,'NF Diesel'!$T$5:$Z$19,4,0)&gt;VLOOKUP($B9-1,'NF Diesel'!$T$5:$Z$19,3,0),VLOOKUP($B9,'NF Diesel'!$B$5:$H$58,7,0)/VLOOKUP($B9,'NF Diesel'!$B$5:$H$58,3,0),IF(VLOOKUP($B9-1,'NF Diesel'!$T$5:$Z$19,4,0)&gt;VLOOKUP($B8-1,'NF Diesel'!$T$5:$Z$19,3,0),VLOOKUP($B8,'NF Diesel'!$B$5:$H$58,7,0)/VLOOKUP($B8,'NF Diesel'!$B$5:$H$58,3,0),Tributos!C8)))</f>
        <v>#N/A</v>
      </c>
      <c r="D9" s="14" t="e">
        <f>IF(VLOOKUP($B9-1,'NF Óleo Comb'!$J$5:$P$17,7,0)="SIM",VLOOKUP($B9,'NF Óleo Comb'!$B$5:$H$74,6,0)/VLOOKUP($B9,'NF Óleo Comb'!$B$5:$H$74,3,0),IF(VLOOKUP($B9-1,'NF Óleo Comb'!$J$5:$P$17,4,0)&gt;VLOOKUP($B9-1,'NF Óleo Comb'!$J$5:$P$17,3,0),VLOOKUP($B9,'NF Óleo Comb'!$B$5:$H$74,6,0)/VLOOKUP($B9,'NF Óleo Comb'!$B$5:$H$74,3,0),IF(VLOOKUP($B9-1,'NF Óleo Comb'!$J$5:$P$17,4,0)&gt;VLOOKUP($B8-1,'NF Óleo Comb'!$J$5:$P$17,3,0),VLOOKUP($B8,'NF Óleo Comb'!$B$5:$H$74,6,0)/VLOOKUP($B8,'NF Óleo Comb'!$B$5:$H$74,3,0),Tributos!D8)))</f>
        <v>#N/A</v>
      </c>
      <c r="E9" s="14" t="e">
        <f>IF(VLOOKUP($B9-1,'NF Diesel'!$T$5:$Z$19,7,0)="SIM",VLOOKUP($B9,'NF Diesel'!$B$5:$H$58,6,0)/VLOOKUP($B9,'NF Diesel'!$B$5:$H$58,3,0),IF(VLOOKUP($B9-1,'NF Diesel'!$T$5:$Z$19,4,0)&gt;VLOOKUP($B9-1,'NF Diesel'!$T$5:$Z$19,3,0),VLOOKUP($B9,'NF Diesel'!$B$5:$H$58,6,0)/VLOOKUP($B9,'NF Diesel'!$B$5:$H$58,3,0),IF(VLOOKUP($B9-1,'NF Diesel'!$T$5:$Z$19,4,0)&gt;VLOOKUP($B8-1,'NF Diesel'!$T$5:$Z$19,3,0),VLOOKUP($B8,'NF Diesel'!$B$5:$H$58,6,0)/VLOOKUP($B8,'NF Diesel'!$B$5:$H$58,3,0),Tributos!E8)))</f>
        <v>#N/A</v>
      </c>
      <c r="F9" s="14" t="e">
        <f>IF(VLOOKUP($B9-1,'NF Óleo Comb'!$J$5:$P$17,7,0)="SIM",VLOOKUP($B9,'NF Óleo Comb'!$B$5:$H$74,5,0)/VLOOKUP($B9,'NF Óleo Comb'!$B$5:$H$74,3,0),IF(VLOOKUP($B9-1,'NF Óleo Comb'!$J$5:$P$17,4,0)&gt;VLOOKUP($B9-1,'NF Óleo Comb'!$J$5:$P$17,3,0),VLOOKUP($B9,'NF Óleo Comb'!$B$5:$H$74,5,0)/VLOOKUP($B9,'NF Óleo Comb'!$B$5:$H$74,3,0),IF(VLOOKUP($B9-1,'NF Óleo Comb'!$J$5:$P$17,4,0)&gt;VLOOKUP($B8-1,'NF Óleo Comb'!$J$5:$P$17,3,0),VLOOKUP($B8,'NF Óleo Comb'!$B$5:$H$74,5,0)/VLOOKUP($B8,'NF Óleo Comb'!$B$5:$H$74,3,0),Tributos!F8)))</f>
        <v>#N/A</v>
      </c>
      <c r="G9" s="32" t="e">
        <f>VLOOKUP(EOMONTH($B9,0),SCD!$B$6:$H$65,4,0)*1000</f>
        <v>#N/A</v>
      </c>
      <c r="H9" s="32" t="e">
        <f>VLOOKUP(EOMONTH($B9,0),SCD!$B$6:$H$65,5,0)*1000</f>
        <v>#N/A</v>
      </c>
      <c r="I9" s="19">
        <v>1</v>
      </c>
      <c r="J9" s="19">
        <v>0</v>
      </c>
      <c r="K9" s="19">
        <f>Parâmetros!$D$6</f>
        <v>1</v>
      </c>
      <c r="L9" s="15" t="e">
        <f t="shared" si="0"/>
        <v>#N/A</v>
      </c>
    </row>
    <row r="10" spans="2:12" x14ac:dyDescent="0.35">
      <c r="B10" s="16">
        <v>44257</v>
      </c>
      <c r="C10" s="14" t="e">
        <f>IF(VLOOKUP($B10-1,'NF Diesel'!$T$5:$Z$19,7,0)="SIM",VLOOKUP($B10,'NF Diesel'!$B$5:$H$58,7,0)/VLOOKUP($B10,'NF Diesel'!$B$5:$H$58,3,0),IF(VLOOKUP($B10-1,'NF Diesel'!$T$5:$Z$19,4,0)&gt;VLOOKUP($B10-1,'NF Diesel'!$T$5:$Z$19,3,0),VLOOKUP($B10,'NF Diesel'!$B$5:$H$58,7,0)/VLOOKUP($B10,'NF Diesel'!$B$5:$H$58,3,0),IF(VLOOKUP($B10-1,'NF Diesel'!$T$5:$Z$19,4,0)&gt;VLOOKUP($B9-1,'NF Diesel'!$T$5:$Z$19,3,0),VLOOKUP($B9,'NF Diesel'!$B$5:$H$58,7,0)/VLOOKUP($B9,'NF Diesel'!$B$5:$H$58,3,0),Tributos!C9)))</f>
        <v>#N/A</v>
      </c>
      <c r="D10" s="14" t="e">
        <f>IF(VLOOKUP($B10-1,'NF Óleo Comb'!$J$5:$P$17,7,0)="SIM",VLOOKUP($B10,'NF Óleo Comb'!$B$5:$H$74,6,0)/VLOOKUP($B10,'NF Óleo Comb'!$B$5:$H$74,3,0),IF(VLOOKUP($B10-1,'NF Óleo Comb'!$J$5:$P$17,4,0)&gt;VLOOKUP($B10-1,'NF Óleo Comb'!$J$5:$P$17,3,0),VLOOKUP($B10,'NF Óleo Comb'!$B$5:$H$74,6,0)/VLOOKUP($B10,'NF Óleo Comb'!$B$5:$H$74,3,0),IF(VLOOKUP($B10-1,'NF Óleo Comb'!$J$5:$P$17,4,0)&gt;VLOOKUP($B9-1,'NF Óleo Comb'!$J$5:$P$17,3,0),VLOOKUP($B9,'NF Óleo Comb'!$B$5:$H$74,6,0)/VLOOKUP($B9,'NF Óleo Comb'!$B$5:$H$74,3,0),Tributos!D9)))</f>
        <v>#N/A</v>
      </c>
      <c r="E10" s="14" t="e">
        <f>IF(VLOOKUP($B10-1,'NF Diesel'!$T$5:$Z$19,7,0)="SIM",VLOOKUP($B10,'NF Diesel'!$B$5:$H$58,6,0)/VLOOKUP($B10,'NF Diesel'!$B$5:$H$58,3,0),IF(VLOOKUP($B10-1,'NF Diesel'!$T$5:$Z$19,4,0)&gt;VLOOKUP($B10-1,'NF Diesel'!$T$5:$Z$19,3,0),VLOOKUP($B10,'NF Diesel'!$B$5:$H$58,6,0)/VLOOKUP($B10,'NF Diesel'!$B$5:$H$58,3,0),IF(VLOOKUP($B10-1,'NF Diesel'!$T$5:$Z$19,4,0)&gt;VLOOKUP($B9-1,'NF Diesel'!$T$5:$Z$19,3,0),VLOOKUP($B9,'NF Diesel'!$B$5:$H$58,6,0)/VLOOKUP($B9,'NF Diesel'!$B$5:$H$58,3,0),Tributos!E9)))</f>
        <v>#N/A</v>
      </c>
      <c r="F10" s="14" t="e">
        <f>IF(VLOOKUP($B10-1,'NF Óleo Comb'!$J$5:$P$17,7,0)="SIM",VLOOKUP($B10,'NF Óleo Comb'!$B$5:$H$74,5,0)/VLOOKUP($B10,'NF Óleo Comb'!$B$5:$H$74,3,0),IF(VLOOKUP($B10-1,'NF Óleo Comb'!$J$5:$P$17,4,0)&gt;VLOOKUP($B10-1,'NF Óleo Comb'!$J$5:$P$17,3,0),VLOOKUP($B10,'NF Óleo Comb'!$B$5:$H$74,5,0)/VLOOKUP($B10,'NF Óleo Comb'!$B$5:$H$74,3,0),IF(VLOOKUP($B10-1,'NF Óleo Comb'!$J$5:$P$17,4,0)&gt;VLOOKUP($B9-1,'NF Óleo Comb'!$J$5:$P$17,3,0),VLOOKUP($B9,'NF Óleo Comb'!$B$5:$H$74,5,0)/VLOOKUP($B9,'NF Óleo Comb'!$B$5:$H$74,3,0),Tributos!F9)))</f>
        <v>#N/A</v>
      </c>
      <c r="G10" s="32" t="e">
        <f>VLOOKUP(EOMONTH($B10,0),SCD!$B$6:$H$65,4,0)*1000</f>
        <v>#N/A</v>
      </c>
      <c r="H10" s="32" t="e">
        <f>VLOOKUP(EOMONTH($B10,0),SCD!$B$6:$H$65,5,0)*1000</f>
        <v>#N/A</v>
      </c>
      <c r="I10" s="19">
        <v>1</v>
      </c>
      <c r="J10" s="19">
        <v>0</v>
      </c>
      <c r="K10" s="19">
        <f>Parâmetros!$D$6</f>
        <v>1</v>
      </c>
      <c r="L10" s="15" t="e">
        <f t="shared" si="0"/>
        <v>#N/A</v>
      </c>
    </row>
    <row r="11" spans="2:12" x14ac:dyDescent="0.35">
      <c r="B11" s="16">
        <v>44288</v>
      </c>
      <c r="C11" s="14" t="e">
        <f>IF(VLOOKUP($B11-1,'NF Diesel'!$T$5:$Z$19,7,0)="SIM",VLOOKUP($B11,'NF Diesel'!$B$5:$H$58,7,0)/VLOOKUP($B11,'NF Diesel'!$B$5:$H$58,3,0),IF(VLOOKUP($B11-1,'NF Diesel'!$T$5:$Z$19,4,0)&gt;VLOOKUP($B11-1,'NF Diesel'!$T$5:$Z$19,3,0),VLOOKUP($B11,'NF Diesel'!$B$5:$H$58,7,0)/VLOOKUP($B11,'NF Diesel'!$B$5:$H$58,3,0),IF(VLOOKUP($B11-1,'NF Diesel'!$T$5:$Z$19,4,0)&gt;VLOOKUP($B10-1,'NF Diesel'!$T$5:$Z$19,3,0),VLOOKUP($B10,'NF Diesel'!$B$5:$H$58,7,0)/VLOOKUP($B10,'NF Diesel'!$B$5:$H$58,3,0),Tributos!C10)))</f>
        <v>#N/A</v>
      </c>
      <c r="D11" s="14" t="e">
        <f>IF(VLOOKUP($B11-1,'NF Óleo Comb'!$J$5:$P$17,7,0)="SIM",VLOOKUP($B11,'NF Óleo Comb'!$B$5:$H$74,6,0)/VLOOKUP($B11,'NF Óleo Comb'!$B$5:$H$74,3,0),IF(VLOOKUP($B11-1,'NF Óleo Comb'!$J$5:$P$17,4,0)&gt;VLOOKUP($B11-1,'NF Óleo Comb'!$J$5:$P$17,3,0),VLOOKUP($B11,'NF Óleo Comb'!$B$5:$H$74,6,0)/VLOOKUP($B11,'NF Óleo Comb'!$B$5:$H$74,3,0),IF(VLOOKUP($B11-1,'NF Óleo Comb'!$J$5:$P$17,4,0)&gt;VLOOKUP($B10-1,'NF Óleo Comb'!$J$5:$P$17,3,0),VLOOKUP($B10,'NF Óleo Comb'!$B$5:$H$74,6,0)/VLOOKUP($B10,'NF Óleo Comb'!$B$5:$H$74,3,0),Tributos!D10)))</f>
        <v>#N/A</v>
      </c>
      <c r="E11" s="14" t="e">
        <f>IF(VLOOKUP($B11-1,'NF Diesel'!$T$5:$Z$19,7,0)="SIM",VLOOKUP($B11,'NF Diesel'!$B$5:$H$58,6,0)/VLOOKUP($B11,'NF Diesel'!$B$5:$H$58,3,0),IF(VLOOKUP($B11-1,'NF Diesel'!$T$5:$Z$19,4,0)&gt;VLOOKUP($B11-1,'NF Diesel'!$T$5:$Z$19,3,0),VLOOKUP($B11,'NF Diesel'!$B$5:$H$58,6,0)/VLOOKUP($B11,'NF Diesel'!$B$5:$H$58,3,0),IF(VLOOKUP($B11-1,'NF Diesel'!$T$5:$Z$19,4,0)&gt;VLOOKUP($B10-1,'NF Diesel'!$T$5:$Z$19,3,0),VLOOKUP($B10,'NF Diesel'!$B$5:$H$58,6,0)/VLOOKUP($B10,'NF Diesel'!$B$5:$H$58,3,0),Tributos!E10)))</f>
        <v>#N/A</v>
      </c>
      <c r="F11" s="14" t="e">
        <f>IF(VLOOKUP($B11-1,'NF Óleo Comb'!$J$5:$P$17,7,0)="SIM",VLOOKUP($B11,'NF Óleo Comb'!$B$5:$H$74,5,0)/VLOOKUP($B11,'NF Óleo Comb'!$B$5:$H$74,3,0),IF(VLOOKUP($B11-1,'NF Óleo Comb'!$J$5:$P$17,4,0)&gt;VLOOKUP($B11-1,'NF Óleo Comb'!$J$5:$P$17,3,0),VLOOKUP($B11,'NF Óleo Comb'!$B$5:$H$74,5,0)/VLOOKUP($B11,'NF Óleo Comb'!$B$5:$H$74,3,0),IF(VLOOKUP($B11-1,'NF Óleo Comb'!$J$5:$P$17,4,0)&gt;VLOOKUP($B10-1,'NF Óleo Comb'!$J$5:$P$17,3,0),VLOOKUP($B10,'NF Óleo Comb'!$B$5:$H$74,5,0)/VLOOKUP($B10,'NF Óleo Comb'!$B$5:$H$74,3,0),Tributos!F10)))</f>
        <v>#N/A</v>
      </c>
      <c r="G11" s="32" t="e">
        <f>VLOOKUP(EOMONTH($B11,0),SCD!$B$6:$H$65,4,0)*1000</f>
        <v>#N/A</v>
      </c>
      <c r="H11" s="32" t="e">
        <f>VLOOKUP(EOMONTH($B11,0),SCD!$B$6:$H$65,5,0)*1000</f>
        <v>#N/A</v>
      </c>
      <c r="I11" s="19">
        <v>1</v>
      </c>
      <c r="J11" s="19">
        <v>0</v>
      </c>
      <c r="K11" s="19">
        <f>Parâmetros!$D$6</f>
        <v>1</v>
      </c>
      <c r="L11" s="15" t="e">
        <f t="shared" si="0"/>
        <v>#N/A</v>
      </c>
    </row>
    <row r="12" spans="2:12" x14ac:dyDescent="0.35">
      <c r="B12" s="16">
        <v>44318</v>
      </c>
      <c r="C12" s="14" t="e">
        <f>IF(VLOOKUP($B12-1,'NF Diesel'!$T$5:$Z$19,7,0)="SIM",VLOOKUP($B12,'NF Diesel'!$B$5:$H$58,7,0)/VLOOKUP($B12,'NF Diesel'!$B$5:$H$58,3,0),IF(VLOOKUP($B12-1,'NF Diesel'!$T$5:$Z$19,4,0)&gt;VLOOKUP($B12-1,'NF Diesel'!$T$5:$Z$19,3,0),VLOOKUP($B12,'NF Diesel'!$B$5:$H$58,7,0)/VLOOKUP($B12,'NF Diesel'!$B$5:$H$58,3,0),IF(VLOOKUP($B12-1,'NF Diesel'!$T$5:$Z$19,4,0)&gt;VLOOKUP($B11-1,'NF Diesel'!$T$5:$Z$19,3,0),VLOOKUP($B11,'NF Diesel'!$B$5:$H$58,7,0)/VLOOKUP($B11,'NF Diesel'!$B$5:$H$58,3,0),Tributos!C11)))</f>
        <v>#N/A</v>
      </c>
      <c r="D12" s="14" t="e">
        <f>IF(VLOOKUP($B12-1,'NF Óleo Comb'!$J$5:$P$17,7,0)="SIM",VLOOKUP($B12,'NF Óleo Comb'!$B$5:$H$74,6,0)/VLOOKUP($B12,'NF Óleo Comb'!$B$5:$H$74,3,0),IF(VLOOKUP($B12-1,'NF Óleo Comb'!$J$5:$P$17,4,0)&gt;VLOOKUP($B12-1,'NF Óleo Comb'!$J$5:$P$17,3,0),VLOOKUP($B12,'NF Óleo Comb'!$B$5:$H$74,6,0)/VLOOKUP($B12,'NF Óleo Comb'!$B$5:$H$74,3,0),IF(VLOOKUP($B12-1,'NF Óleo Comb'!$J$5:$P$17,4,0)&gt;VLOOKUP($B11-1,'NF Óleo Comb'!$J$5:$P$17,3,0),VLOOKUP($B11,'NF Óleo Comb'!$B$5:$H$74,6,0)/VLOOKUP($B11,'NF Óleo Comb'!$B$5:$H$74,3,0),Tributos!D11)))</f>
        <v>#N/A</v>
      </c>
      <c r="E12" s="14" t="e">
        <f>IF(VLOOKUP($B12-1,'NF Diesel'!$T$5:$Z$19,7,0)="SIM",VLOOKUP($B12,'NF Diesel'!$B$5:$H$58,6,0)/VLOOKUP($B12,'NF Diesel'!$B$5:$H$58,3,0),IF(VLOOKUP($B12-1,'NF Diesel'!$T$5:$Z$19,4,0)&gt;VLOOKUP($B12-1,'NF Diesel'!$T$5:$Z$19,3,0),VLOOKUP($B12,'NF Diesel'!$B$5:$H$58,6,0)/VLOOKUP($B12,'NF Diesel'!$B$5:$H$58,3,0),IF(VLOOKUP($B12-1,'NF Diesel'!$T$5:$Z$19,4,0)&gt;VLOOKUP($B11-1,'NF Diesel'!$T$5:$Z$19,3,0),VLOOKUP($B11,'NF Diesel'!$B$5:$H$58,6,0)/VLOOKUP($B11,'NF Diesel'!$B$5:$H$58,3,0),Tributos!E11)))</f>
        <v>#N/A</v>
      </c>
      <c r="F12" s="14" t="e">
        <f>IF(VLOOKUP($B12-1,'NF Óleo Comb'!$J$5:$P$17,7,0)="SIM",VLOOKUP($B12,'NF Óleo Comb'!$B$5:$H$74,5,0)/VLOOKUP($B12,'NF Óleo Comb'!$B$5:$H$74,3,0),IF(VLOOKUP($B12-1,'NF Óleo Comb'!$J$5:$P$17,4,0)&gt;VLOOKUP($B12-1,'NF Óleo Comb'!$J$5:$P$17,3,0),VLOOKUP($B12,'NF Óleo Comb'!$B$5:$H$74,5,0)/VLOOKUP($B12,'NF Óleo Comb'!$B$5:$H$74,3,0),IF(VLOOKUP($B12-1,'NF Óleo Comb'!$J$5:$P$17,4,0)&gt;VLOOKUP($B11-1,'NF Óleo Comb'!$J$5:$P$17,3,0),VLOOKUP($B11,'NF Óleo Comb'!$B$5:$H$74,5,0)/VLOOKUP($B11,'NF Óleo Comb'!$B$5:$H$74,3,0),Tributos!F11)))</f>
        <v>#N/A</v>
      </c>
      <c r="G12" s="32" t="e">
        <f>VLOOKUP(EOMONTH($B12,0),SCD!$B$6:$H$65,4,0)*1000</f>
        <v>#N/A</v>
      </c>
      <c r="H12" s="32" t="e">
        <f>VLOOKUP(EOMONTH($B12,0),SCD!$B$6:$H$65,5,0)*1000</f>
        <v>#N/A</v>
      </c>
      <c r="I12" s="19">
        <v>1</v>
      </c>
      <c r="J12" s="19">
        <v>0</v>
      </c>
      <c r="K12" s="19">
        <f>Parâmetros!$D$6</f>
        <v>1</v>
      </c>
      <c r="L12" s="15" t="e">
        <f t="shared" si="0"/>
        <v>#N/A</v>
      </c>
    </row>
    <row r="13" spans="2:12" x14ac:dyDescent="0.35">
      <c r="B13" s="16">
        <v>44349</v>
      </c>
      <c r="C13" s="14" t="e">
        <f>IF(VLOOKUP($B13-1,'NF Diesel'!$T$5:$Z$19,7,0)="SIM",VLOOKUP($B13,'NF Diesel'!$B$5:$H$58,7,0)/VLOOKUP($B13,'NF Diesel'!$B$5:$H$58,3,0),IF(VLOOKUP($B13-1,'NF Diesel'!$T$5:$Z$19,4,0)&gt;VLOOKUP($B13-1,'NF Diesel'!$T$5:$Z$19,3,0),VLOOKUP($B13,'NF Diesel'!$B$5:$H$58,7,0)/VLOOKUP($B13,'NF Diesel'!$B$5:$H$58,3,0),IF(VLOOKUP($B13-1,'NF Diesel'!$T$5:$Z$19,4,0)&gt;VLOOKUP($B12-1,'NF Diesel'!$T$5:$Z$19,3,0),VLOOKUP($B12,'NF Diesel'!$B$5:$H$58,7,0)/VLOOKUP($B12,'NF Diesel'!$B$5:$H$58,3,0),Tributos!C12)))</f>
        <v>#N/A</v>
      </c>
      <c r="D13" s="14" t="e">
        <f>IF(VLOOKUP($B13-1,'NF Óleo Comb'!$J$5:$P$17,7,0)="SIM",VLOOKUP($B13,'NF Óleo Comb'!$B$5:$H$74,6,0)/VLOOKUP($B13,'NF Óleo Comb'!$B$5:$H$74,3,0),IF(VLOOKUP($B13-1,'NF Óleo Comb'!$J$5:$P$17,4,0)&gt;VLOOKUP($B13-1,'NF Óleo Comb'!$J$5:$P$17,3,0),VLOOKUP($B13,'NF Óleo Comb'!$B$5:$H$74,6,0)/VLOOKUP($B13,'NF Óleo Comb'!$B$5:$H$74,3,0),IF(VLOOKUP($B13-1,'NF Óleo Comb'!$J$5:$P$17,4,0)&gt;VLOOKUP($B12-1,'NF Óleo Comb'!$J$5:$P$17,3,0),VLOOKUP($B12,'NF Óleo Comb'!$B$5:$H$74,6,0)/VLOOKUP($B12,'NF Óleo Comb'!$B$5:$H$74,3,0),Tributos!D12)))</f>
        <v>#N/A</v>
      </c>
      <c r="E13" s="14" t="e">
        <f>IF(VLOOKUP($B13-1,'NF Diesel'!$T$5:$Z$19,7,0)="SIM",VLOOKUP($B13,'NF Diesel'!$B$5:$H$58,6,0)/VLOOKUP($B13,'NF Diesel'!$B$5:$H$58,3,0),IF(VLOOKUP($B13-1,'NF Diesel'!$T$5:$Z$19,4,0)&gt;VLOOKUP($B13-1,'NF Diesel'!$T$5:$Z$19,3,0),VLOOKUP($B13,'NF Diesel'!$B$5:$H$58,6,0)/VLOOKUP($B13,'NF Diesel'!$B$5:$H$58,3,0),IF(VLOOKUP($B13-1,'NF Diesel'!$T$5:$Z$19,4,0)&gt;VLOOKUP($B12-1,'NF Diesel'!$T$5:$Z$19,3,0),VLOOKUP($B12,'NF Diesel'!$B$5:$H$58,6,0)/VLOOKUP($B12,'NF Diesel'!$B$5:$H$58,3,0),Tributos!E12)))</f>
        <v>#N/A</v>
      </c>
      <c r="F13" s="14" t="e">
        <f>IF(VLOOKUP($B13-1,'NF Óleo Comb'!$J$5:$P$17,7,0)="SIM",VLOOKUP($B13,'NF Óleo Comb'!$B$5:$H$74,5,0)/VLOOKUP($B13,'NF Óleo Comb'!$B$5:$H$74,3,0),IF(VLOOKUP($B13-1,'NF Óleo Comb'!$J$5:$P$17,4,0)&gt;VLOOKUP($B13-1,'NF Óleo Comb'!$J$5:$P$17,3,0),VLOOKUP($B13,'NF Óleo Comb'!$B$5:$H$74,5,0)/VLOOKUP($B13,'NF Óleo Comb'!$B$5:$H$74,3,0),IF(VLOOKUP($B13-1,'NF Óleo Comb'!$J$5:$P$17,4,0)&gt;VLOOKUP($B12-1,'NF Óleo Comb'!$J$5:$P$17,3,0),VLOOKUP($B12,'NF Óleo Comb'!$B$5:$H$74,5,0)/VLOOKUP($B12,'NF Óleo Comb'!$B$5:$H$74,3,0),Tributos!F12)))</f>
        <v>#N/A</v>
      </c>
      <c r="G13" s="32" t="e">
        <f>VLOOKUP(EOMONTH($B13,0),SCD!$B$6:$H$65,4,0)*1000</f>
        <v>#N/A</v>
      </c>
      <c r="H13" s="32" t="e">
        <f>VLOOKUP(EOMONTH($B13,0),SCD!$B$6:$H$65,5,0)*1000</f>
        <v>#N/A</v>
      </c>
      <c r="I13" s="19">
        <v>1</v>
      </c>
      <c r="J13" s="19">
        <v>0</v>
      </c>
      <c r="K13" s="19">
        <f>Parâmetros!$D$6</f>
        <v>1</v>
      </c>
      <c r="L13" s="15" t="e">
        <f t="shared" si="0"/>
        <v>#N/A</v>
      </c>
    </row>
    <row r="14" spans="2:12" x14ac:dyDescent="0.35">
      <c r="B14" s="16">
        <v>44379</v>
      </c>
      <c r="C14" s="14" t="e">
        <f>IF(VLOOKUP($B14-1,'NF Diesel'!$T$5:$Z$19,7,0)="SIM",VLOOKUP($B14,'NF Diesel'!$B$5:$H$58,7,0)/VLOOKUP($B14,'NF Diesel'!$B$5:$H$58,3,0),IF(VLOOKUP($B14-1,'NF Diesel'!$T$5:$Z$19,4,0)&gt;VLOOKUP($B14-1,'NF Diesel'!$T$5:$Z$19,3,0),VLOOKUP($B14,'NF Diesel'!$B$5:$H$58,7,0)/VLOOKUP($B14,'NF Diesel'!$B$5:$H$58,3,0),IF(VLOOKUP($B14-1,'NF Diesel'!$T$5:$Z$19,4,0)&gt;VLOOKUP($B13-1,'NF Diesel'!$T$5:$Z$19,3,0),VLOOKUP($B13,'NF Diesel'!$B$5:$H$58,7,0)/VLOOKUP($B13,'NF Diesel'!$B$5:$H$58,3,0),Tributos!C13)))</f>
        <v>#N/A</v>
      </c>
      <c r="D14" s="14" t="e">
        <f>IF(VLOOKUP($B14-1,'NF Óleo Comb'!$J$5:$P$17,7,0)="SIM",VLOOKUP($B14,'NF Óleo Comb'!$B$5:$H$74,6,0)/VLOOKUP($B14,'NF Óleo Comb'!$B$5:$H$74,3,0),IF(VLOOKUP($B14-1,'NF Óleo Comb'!$J$5:$P$17,4,0)&gt;VLOOKUP($B14-1,'NF Óleo Comb'!$J$5:$P$17,3,0),VLOOKUP($B14,'NF Óleo Comb'!$B$5:$H$74,6,0)/VLOOKUP($B14,'NF Óleo Comb'!$B$5:$H$74,3,0),IF(VLOOKUP($B14-1,'NF Óleo Comb'!$J$5:$P$17,4,0)&gt;VLOOKUP($B13-1,'NF Óleo Comb'!$J$5:$P$17,3,0),VLOOKUP($B13,'NF Óleo Comb'!$B$5:$H$74,6,0)/VLOOKUP($B13,'NF Óleo Comb'!$B$5:$H$74,3,0),Tributos!D13)))</f>
        <v>#N/A</v>
      </c>
      <c r="E14" s="14" t="e">
        <f>IF(VLOOKUP($B14-1,'NF Diesel'!$T$5:$Z$19,7,0)="SIM",VLOOKUP($B14,'NF Diesel'!$B$5:$H$58,6,0)/VLOOKUP($B14,'NF Diesel'!$B$5:$H$58,3,0),IF(VLOOKUP($B14-1,'NF Diesel'!$T$5:$Z$19,4,0)&gt;VLOOKUP($B14-1,'NF Diesel'!$T$5:$Z$19,3,0),VLOOKUP($B14,'NF Diesel'!$B$5:$H$58,6,0)/VLOOKUP($B14,'NF Diesel'!$B$5:$H$58,3,0),IF(VLOOKUP($B14-1,'NF Diesel'!$T$5:$Z$19,4,0)&gt;VLOOKUP($B13-1,'NF Diesel'!$T$5:$Z$19,3,0),VLOOKUP($B13,'NF Diesel'!$B$5:$H$58,6,0)/VLOOKUP($B13,'NF Diesel'!$B$5:$H$58,3,0),Tributos!E13)))</f>
        <v>#N/A</v>
      </c>
      <c r="F14" s="14" t="e">
        <f>IF(VLOOKUP($B14-1,'NF Óleo Comb'!$J$5:$P$17,7,0)="SIM",VLOOKUP($B14,'NF Óleo Comb'!$B$5:$H$74,5,0)/VLOOKUP($B14,'NF Óleo Comb'!$B$5:$H$74,3,0),IF(VLOOKUP($B14-1,'NF Óleo Comb'!$J$5:$P$17,4,0)&gt;VLOOKUP($B14-1,'NF Óleo Comb'!$J$5:$P$17,3,0),VLOOKUP($B14,'NF Óleo Comb'!$B$5:$H$74,5,0)/VLOOKUP($B14,'NF Óleo Comb'!$B$5:$H$74,3,0),IF(VLOOKUP($B14-1,'NF Óleo Comb'!$J$5:$P$17,4,0)&gt;VLOOKUP($B13-1,'NF Óleo Comb'!$J$5:$P$17,3,0),VLOOKUP($B13,'NF Óleo Comb'!$B$5:$H$74,5,0)/VLOOKUP($B13,'NF Óleo Comb'!$B$5:$H$74,3,0),Tributos!F13)))</f>
        <v>#N/A</v>
      </c>
      <c r="G14" s="32" t="e">
        <f>VLOOKUP(EOMONTH($B14,0),SCD!$B$6:$H$65,4,0)*1000</f>
        <v>#N/A</v>
      </c>
      <c r="H14" s="32" t="e">
        <f>VLOOKUP(EOMONTH($B14,0),SCD!$B$6:$H$65,5,0)*1000</f>
        <v>#N/A</v>
      </c>
      <c r="I14" s="19">
        <v>1</v>
      </c>
      <c r="J14" s="19">
        <v>0</v>
      </c>
      <c r="K14" s="19">
        <f>Parâmetros!$D$6</f>
        <v>1</v>
      </c>
      <c r="L14" s="15" t="e">
        <f t="shared" ref="L14" si="1">(C14*G14*(1-J14)+D14*H14*(1-J14)+E14*G14*(1-I14)+F14*H14*(1-I14))*K14</f>
        <v>#N/A</v>
      </c>
    </row>
    <row r="15" spans="2:12" x14ac:dyDescent="0.35">
      <c r="B15" s="16">
        <v>44410</v>
      </c>
      <c r="C15" s="14" t="e">
        <f>IF(VLOOKUP($B15-1,'NF Diesel'!$T$5:$Z$19,7,0)="SIM",VLOOKUP($B15,'NF Diesel'!$B$5:$H$58,7,0)/VLOOKUP($B15,'NF Diesel'!$B$5:$H$58,3,0),IF(VLOOKUP($B15-1,'NF Diesel'!$T$5:$Z$19,4,0)&gt;VLOOKUP($B15-1,'NF Diesel'!$T$5:$Z$19,3,0),VLOOKUP($B15,'NF Diesel'!$B$5:$H$58,7,0)/VLOOKUP($B15,'NF Diesel'!$B$5:$H$58,3,0),IF(VLOOKUP($B15-1,'NF Diesel'!$T$5:$Z$19,4,0)&gt;VLOOKUP($B14-1,'NF Diesel'!$T$5:$Z$19,3,0),VLOOKUP($B14,'NF Diesel'!$B$5:$H$58,7,0)/VLOOKUP($B14,'NF Diesel'!$B$5:$H$58,3,0),Tributos!C14)))</f>
        <v>#N/A</v>
      </c>
      <c r="D15" s="14" t="e">
        <f>IF(VLOOKUP($B15-1,'NF Óleo Comb'!$J$5:$P$17,7,0)="SIM",VLOOKUP($B15,'NF Óleo Comb'!$B$5:$H$74,6,0)/VLOOKUP($B15,'NF Óleo Comb'!$B$5:$H$74,3,0),IF(VLOOKUP($B15-1,'NF Óleo Comb'!$J$5:$P$17,4,0)&gt;VLOOKUP($B15-1,'NF Óleo Comb'!$J$5:$P$17,3,0),VLOOKUP($B15,'NF Óleo Comb'!$B$5:$H$74,6,0)/VLOOKUP($B15,'NF Óleo Comb'!$B$5:$H$74,3,0),IF(VLOOKUP($B15-1,'NF Óleo Comb'!$J$5:$P$17,4,0)&gt;VLOOKUP($B14-1,'NF Óleo Comb'!$J$5:$P$17,3,0),VLOOKUP($B14,'NF Óleo Comb'!$B$5:$H$74,6,0)/VLOOKUP($B14,'NF Óleo Comb'!$B$5:$H$74,3,0),Tributos!D14)))</f>
        <v>#N/A</v>
      </c>
      <c r="E15" s="14" t="e">
        <f>IF(VLOOKUP($B15-1,'NF Diesel'!$T$5:$Z$19,7,0)="SIM",VLOOKUP($B15,'NF Diesel'!$B$5:$H$58,6,0)/VLOOKUP($B15,'NF Diesel'!$B$5:$H$58,3,0),IF(VLOOKUP($B15-1,'NF Diesel'!$T$5:$Z$19,4,0)&gt;VLOOKUP($B15-1,'NF Diesel'!$T$5:$Z$19,3,0),VLOOKUP($B15,'NF Diesel'!$B$5:$H$58,6,0)/VLOOKUP($B15,'NF Diesel'!$B$5:$H$58,3,0),IF(VLOOKUP($B15-1,'NF Diesel'!$T$5:$Z$19,4,0)&gt;VLOOKUP($B14-1,'NF Diesel'!$T$5:$Z$19,3,0),VLOOKUP($B14,'NF Diesel'!$B$5:$H$58,6,0)/VLOOKUP($B14,'NF Diesel'!$B$5:$H$58,3,0),Tributos!E14)))</f>
        <v>#N/A</v>
      </c>
      <c r="F15" s="14" t="e">
        <f>IF(VLOOKUP($B15-1,'NF Óleo Comb'!$J$5:$P$17,7,0)="SIM",VLOOKUP($B15,'NF Óleo Comb'!$B$5:$H$74,5,0)/VLOOKUP($B15,'NF Óleo Comb'!$B$5:$H$74,3,0),IF(VLOOKUP($B15-1,'NF Óleo Comb'!$J$5:$P$17,4,0)&gt;VLOOKUP($B15-1,'NF Óleo Comb'!$J$5:$P$17,3,0),VLOOKUP($B15,'NF Óleo Comb'!$B$5:$H$74,5,0)/VLOOKUP($B15,'NF Óleo Comb'!$B$5:$H$74,3,0),IF(VLOOKUP($B15-1,'NF Óleo Comb'!$J$5:$P$17,4,0)&gt;VLOOKUP($B14-1,'NF Óleo Comb'!$J$5:$P$17,3,0),VLOOKUP($B14,'NF Óleo Comb'!$B$5:$H$74,5,0)/VLOOKUP($B14,'NF Óleo Comb'!$B$5:$H$74,3,0),Tributos!F14)))</f>
        <v>#N/A</v>
      </c>
      <c r="G15" s="32" t="e">
        <f>VLOOKUP(EOMONTH($B15,0),SCD!$B$6:$H$65,4,0)*1000</f>
        <v>#N/A</v>
      </c>
      <c r="H15" s="32" t="e">
        <f>VLOOKUP(EOMONTH($B15,0),SCD!$B$6:$H$65,5,0)*1000</f>
        <v>#N/A</v>
      </c>
      <c r="I15" s="19">
        <v>1</v>
      </c>
      <c r="J15" s="19">
        <v>0</v>
      </c>
      <c r="K15" s="19">
        <f>Parâmetros!$D$6</f>
        <v>1</v>
      </c>
      <c r="L15" s="15" t="e">
        <f t="shared" ref="L15" si="2">(C15*G15*(1-J15)+D15*H15*(1-J15)+E15*G15*(1-I15)+F15*H15*(1-I15))*K15</f>
        <v>#N/A</v>
      </c>
    </row>
    <row r="16" spans="2:12" x14ac:dyDescent="0.35">
      <c r="B16" s="16">
        <v>44441</v>
      </c>
      <c r="C16" s="14" t="e">
        <f>IF(VLOOKUP($B16-1,'NF Diesel'!$T$5:$Z$19,7,0)="SIM",VLOOKUP($B16,'NF Diesel'!$B$5:$H$58,7,0)/VLOOKUP($B16,'NF Diesel'!$B$5:$H$58,3,0),IF(VLOOKUP($B16-1,'NF Diesel'!$T$5:$Z$19,4,0)&gt;VLOOKUP($B16-1,'NF Diesel'!$T$5:$Z$19,3,0),VLOOKUP($B16,'NF Diesel'!$B$5:$H$58,7,0)/VLOOKUP($B16,'NF Diesel'!$B$5:$H$58,3,0),IF(VLOOKUP($B16-1,'NF Diesel'!$T$5:$Z$19,4,0)&gt;VLOOKUP($B15-1,'NF Diesel'!$T$5:$Z$19,3,0),VLOOKUP($B15,'NF Diesel'!$B$5:$H$58,7,0)/VLOOKUP($B15,'NF Diesel'!$B$5:$H$58,3,0),Tributos!C15)))</f>
        <v>#N/A</v>
      </c>
      <c r="D16" s="14" t="e">
        <f>IF(VLOOKUP($B16-1,'NF Óleo Comb'!$J$5:$P$17,7,0)="SIM",VLOOKUP($B16,'NF Óleo Comb'!$B$5:$H$74,6,0)/VLOOKUP($B16,'NF Óleo Comb'!$B$5:$H$74,3,0),IF(VLOOKUP($B16-1,'NF Óleo Comb'!$J$5:$P$17,4,0)&gt;VLOOKUP($B16-1,'NF Óleo Comb'!$J$5:$P$17,3,0),VLOOKUP($B16,'NF Óleo Comb'!$B$5:$H$74,6,0)/VLOOKUP($B16,'NF Óleo Comb'!$B$5:$H$74,3,0),IF(VLOOKUP($B16-1,'NF Óleo Comb'!$J$5:$P$17,4,0)&gt;VLOOKUP($B15-1,'NF Óleo Comb'!$J$5:$P$17,3,0),VLOOKUP($B15,'NF Óleo Comb'!$B$5:$H$74,6,0)/VLOOKUP($B15,'NF Óleo Comb'!$B$5:$H$74,3,0),Tributos!D15)))</f>
        <v>#N/A</v>
      </c>
      <c r="E16" s="14" t="e">
        <f>IF(VLOOKUP($B16-1,'NF Diesel'!$T$5:$Z$19,7,0)="SIM",VLOOKUP($B16,'NF Diesel'!$B$5:$H$58,6,0)/VLOOKUP($B16,'NF Diesel'!$B$5:$H$58,3,0),IF(VLOOKUP($B16-1,'NF Diesel'!$T$5:$Z$19,4,0)&gt;VLOOKUP($B16-1,'NF Diesel'!$T$5:$Z$19,3,0),VLOOKUP($B16,'NF Diesel'!$B$5:$H$58,6,0)/VLOOKUP($B16,'NF Diesel'!$B$5:$H$58,3,0),IF(VLOOKUP($B16-1,'NF Diesel'!$T$5:$Z$19,4,0)&gt;VLOOKUP($B15-1,'NF Diesel'!$T$5:$Z$19,3,0),VLOOKUP($B15,'NF Diesel'!$B$5:$H$58,6,0)/VLOOKUP($B15,'NF Diesel'!$B$5:$H$58,3,0),Tributos!E15)))</f>
        <v>#N/A</v>
      </c>
      <c r="F16" s="14" t="e">
        <f>IF(VLOOKUP($B16-1,'NF Óleo Comb'!$J$5:$P$17,7,0)="SIM",VLOOKUP($B16,'NF Óleo Comb'!$B$5:$H$74,5,0)/VLOOKUP($B16,'NF Óleo Comb'!$B$5:$H$74,3,0),IF(VLOOKUP($B16-1,'NF Óleo Comb'!$J$5:$P$17,4,0)&gt;VLOOKUP($B16-1,'NF Óleo Comb'!$J$5:$P$17,3,0),VLOOKUP($B16,'NF Óleo Comb'!$B$5:$H$74,5,0)/VLOOKUP($B16,'NF Óleo Comb'!$B$5:$H$74,3,0),IF(VLOOKUP($B16-1,'NF Óleo Comb'!$J$5:$P$17,4,0)&gt;VLOOKUP($B15-1,'NF Óleo Comb'!$J$5:$P$17,3,0),VLOOKUP($B15,'NF Óleo Comb'!$B$5:$H$74,5,0)/VLOOKUP($B15,'NF Óleo Comb'!$B$5:$H$74,3,0),Tributos!F15)))</f>
        <v>#N/A</v>
      </c>
      <c r="G16" s="32" t="e">
        <f>VLOOKUP(EOMONTH($B16,0),SCD!$B$6:$H$65,4,0)*1000</f>
        <v>#N/A</v>
      </c>
      <c r="H16" s="32" t="e">
        <f>VLOOKUP(EOMONTH($B16,0),SCD!$B$6:$H$65,5,0)*1000</f>
        <v>#N/A</v>
      </c>
      <c r="I16" s="19">
        <v>1</v>
      </c>
      <c r="J16" s="19">
        <v>1</v>
      </c>
      <c r="K16" s="19">
        <f>Parâmetros!$D$6</f>
        <v>1</v>
      </c>
      <c r="L16" s="15" t="e">
        <f t="shared" ref="L16:L17" si="3">(C16*G16*(1-J16)+D16*H16*(1-J16)+E16*G16*(1-I16)+F16*H16*(1-I16))*K16</f>
        <v>#N/A</v>
      </c>
    </row>
    <row r="17" spans="2:12" x14ac:dyDescent="0.35">
      <c r="B17" s="16">
        <v>44471</v>
      </c>
      <c r="C17" s="14" t="e">
        <f>IF(VLOOKUP($B17-1,'NF Diesel'!$T$5:$Z$19,7,0)="SIM",VLOOKUP($B17,'NF Diesel'!$B$5:$H$58,7,0)/VLOOKUP($B17,'NF Diesel'!$B$5:$H$58,3,0),IF(VLOOKUP($B17-1,'NF Diesel'!$T$5:$Z$19,4,0)&gt;VLOOKUP($B17-1,'NF Diesel'!$T$5:$Z$19,3,0),VLOOKUP($B17,'NF Diesel'!$B$5:$H$58,7,0)/VLOOKUP($B17,'NF Diesel'!$B$5:$H$58,3,0),IF(VLOOKUP($B17-1,'NF Diesel'!$T$5:$Z$19,4,0)&gt;VLOOKUP($B16-1,'NF Diesel'!$T$5:$Z$19,3,0),VLOOKUP($B16,'NF Diesel'!$B$5:$H$58,7,0)/VLOOKUP($B16,'NF Diesel'!$B$5:$H$58,3,0),Tributos!C16)))</f>
        <v>#N/A</v>
      </c>
      <c r="D17" s="14" t="e">
        <f>IF(VLOOKUP($B17-1,'NF Óleo Comb'!$J$5:$P$17,7,0)="SIM",VLOOKUP($B17,'NF Óleo Comb'!$B$5:$H$74,6,0)/VLOOKUP($B17,'NF Óleo Comb'!$B$5:$H$74,3,0),IF(VLOOKUP($B17-1,'NF Óleo Comb'!$J$5:$P$17,4,0)&gt;VLOOKUP($B17-1,'NF Óleo Comb'!$J$5:$P$17,3,0),VLOOKUP($B17,'NF Óleo Comb'!$B$5:$H$74,6,0)/VLOOKUP($B17,'NF Óleo Comb'!$B$5:$H$74,3,0),IF(VLOOKUP($B17-1,'NF Óleo Comb'!$J$5:$P$17,4,0)&gt;VLOOKUP($B16-1,'NF Óleo Comb'!$J$5:$P$17,3,0),VLOOKUP($B16,'NF Óleo Comb'!$B$5:$H$74,6,0)/VLOOKUP($B16,'NF Óleo Comb'!$B$5:$H$74,3,0),Tributos!D16)))</f>
        <v>#N/A</v>
      </c>
      <c r="E17" s="14" t="e">
        <f>IF(VLOOKUP($B17-1,'NF Diesel'!$T$5:$Z$19,7,0)="SIM",VLOOKUP($B17,'NF Diesel'!$B$5:$H$58,6,0)/VLOOKUP($B17,'NF Diesel'!$B$5:$H$58,3,0),IF(VLOOKUP($B17-1,'NF Diesel'!$T$5:$Z$19,4,0)&gt;VLOOKUP($B17-1,'NF Diesel'!$T$5:$Z$19,3,0),VLOOKUP($B17,'NF Diesel'!$B$5:$H$58,6,0)/VLOOKUP($B17,'NF Diesel'!$B$5:$H$58,3,0),IF(VLOOKUP($B17-1,'NF Diesel'!$T$5:$Z$19,4,0)&gt;VLOOKUP($B16-1,'NF Diesel'!$T$5:$Z$19,3,0),VLOOKUP($B16,'NF Diesel'!$B$5:$H$58,6,0)/VLOOKUP($B16,'NF Diesel'!$B$5:$H$58,3,0),Tributos!E16)))</f>
        <v>#N/A</v>
      </c>
      <c r="F17" s="14" t="e">
        <f>IF(VLOOKUP($B17-1,'NF Óleo Comb'!$J$5:$P$17,7,0)="SIM",VLOOKUP($B17,'NF Óleo Comb'!$B$5:$H$74,5,0)/VLOOKUP($B17,'NF Óleo Comb'!$B$5:$H$74,3,0),IF(VLOOKUP($B17-1,'NF Óleo Comb'!$J$5:$P$17,4,0)&gt;VLOOKUP($B17-1,'NF Óleo Comb'!$J$5:$P$17,3,0),VLOOKUP($B17,'NF Óleo Comb'!$B$5:$H$74,5,0)/VLOOKUP($B17,'NF Óleo Comb'!$B$5:$H$74,3,0),IF(VLOOKUP($B17-1,'NF Óleo Comb'!$J$5:$P$17,4,0)&gt;VLOOKUP($B16-1,'NF Óleo Comb'!$J$5:$P$17,3,0),VLOOKUP($B16,'NF Óleo Comb'!$B$5:$H$74,5,0)/VLOOKUP($B16,'NF Óleo Comb'!$B$5:$H$74,3,0),Tributos!F16)))</f>
        <v>#N/A</v>
      </c>
      <c r="G17" s="32" t="e">
        <f>VLOOKUP(EOMONTH($B17,0),SCD!$B$6:$H$65,4,0)*1000</f>
        <v>#N/A</v>
      </c>
      <c r="H17" s="32" t="e">
        <f>VLOOKUP(EOMONTH($B17,0),SCD!$B$6:$H$65,5,0)*1000</f>
        <v>#N/A</v>
      </c>
      <c r="I17" s="19">
        <v>1</v>
      </c>
      <c r="J17" s="19">
        <v>1</v>
      </c>
      <c r="K17" s="19">
        <f>Parâmetros!$D$6</f>
        <v>1</v>
      </c>
      <c r="L17" s="15" t="e">
        <f t="shared" si="3"/>
        <v>#N/A</v>
      </c>
    </row>
    <row r="18" spans="2:12" x14ac:dyDescent="0.35">
      <c r="B18" s="16">
        <v>44502</v>
      </c>
      <c r="C18" s="14" t="e">
        <f>IF(VLOOKUP($B18-1,'NF Diesel'!$T$5:$Z$19,7,0)="SIM",VLOOKUP($B18,'NF Diesel'!$B$5:$H$58,7,0)/VLOOKUP($B18,'NF Diesel'!$B$5:$H$58,3,0),IF(VLOOKUP($B18-1,'NF Diesel'!$T$5:$Z$19,4,0)&gt;VLOOKUP($B18-1,'NF Diesel'!$T$5:$Z$19,3,0),VLOOKUP($B18,'NF Diesel'!$B$5:$H$58,7,0)/VLOOKUP($B18,'NF Diesel'!$B$5:$H$58,3,0),IF(VLOOKUP($B18-1,'NF Diesel'!$T$5:$Z$19,4,0)&gt;VLOOKUP($B17-1,'NF Diesel'!$T$5:$Z$19,3,0),VLOOKUP($B17,'NF Diesel'!$B$5:$H$58,7,0)/VLOOKUP($B17,'NF Diesel'!$B$5:$H$58,3,0),Tributos!C17)))</f>
        <v>#N/A</v>
      </c>
      <c r="D18" s="14" t="e">
        <f>IF(VLOOKUP($B18-1,'NF Óleo Comb'!$J$5:$P$17,7,0)="SIM",VLOOKUP($B18,'NF Óleo Comb'!$B$5:$H$74,6,0)/VLOOKUP($B18,'NF Óleo Comb'!$B$5:$H$74,3,0),IF(VLOOKUP($B18-1,'NF Óleo Comb'!$J$5:$P$17,4,0)&gt;VLOOKUP($B18-1,'NF Óleo Comb'!$J$5:$P$17,3,0),VLOOKUP($B18,'NF Óleo Comb'!$B$5:$H$74,6,0)/VLOOKUP($B18,'NF Óleo Comb'!$B$5:$H$74,3,0),IF(VLOOKUP($B18-1,'NF Óleo Comb'!$J$5:$P$17,4,0)&gt;VLOOKUP($B17-1,'NF Óleo Comb'!$J$5:$P$17,3,0),VLOOKUP($B17,'NF Óleo Comb'!$B$5:$H$74,6,0)/VLOOKUP($B17,'NF Óleo Comb'!$B$5:$H$74,3,0),Tributos!D17)))</f>
        <v>#N/A</v>
      </c>
      <c r="E18" s="14" t="e">
        <f>IF(VLOOKUP($B18-1,'NF Diesel'!$T$5:$Z$19,7,0)="SIM",VLOOKUP($B18,'NF Diesel'!$B$5:$H$58,6,0)/VLOOKUP($B18,'NF Diesel'!$B$5:$H$58,3,0),IF(VLOOKUP($B18-1,'NF Diesel'!$T$5:$Z$19,4,0)&gt;VLOOKUP($B18-1,'NF Diesel'!$T$5:$Z$19,3,0),VLOOKUP($B18,'NF Diesel'!$B$5:$H$58,6,0)/VLOOKUP($B18,'NF Diesel'!$B$5:$H$58,3,0),IF(VLOOKUP($B18-1,'NF Diesel'!$T$5:$Z$19,4,0)&gt;VLOOKUP($B17-1,'NF Diesel'!$T$5:$Z$19,3,0),VLOOKUP($B17,'NF Diesel'!$B$5:$H$58,6,0)/VLOOKUP($B17,'NF Diesel'!$B$5:$H$58,3,0),Tributos!E17)))</f>
        <v>#N/A</v>
      </c>
      <c r="F18" s="14" t="e">
        <f>IF(VLOOKUP($B18-1,'NF Óleo Comb'!$J$5:$P$17,7,0)="SIM",VLOOKUP($B18,'NF Óleo Comb'!$B$5:$H$74,5,0)/VLOOKUP($B18,'NF Óleo Comb'!$B$5:$H$74,3,0),IF(VLOOKUP($B18-1,'NF Óleo Comb'!$J$5:$P$17,4,0)&gt;VLOOKUP($B18-1,'NF Óleo Comb'!$J$5:$P$17,3,0),VLOOKUP($B18,'NF Óleo Comb'!$B$5:$H$74,5,0)/VLOOKUP($B18,'NF Óleo Comb'!$B$5:$H$74,3,0),IF(VLOOKUP($B18-1,'NF Óleo Comb'!$J$5:$P$17,4,0)&gt;VLOOKUP($B17-1,'NF Óleo Comb'!$J$5:$P$17,3,0),VLOOKUP($B17,'NF Óleo Comb'!$B$5:$H$74,5,0)/VLOOKUP($B17,'NF Óleo Comb'!$B$5:$H$74,3,0),Tributos!F17)))</f>
        <v>#N/A</v>
      </c>
      <c r="G18" s="32" t="e">
        <f>VLOOKUP(EOMONTH($B18,0),SCD!$B$6:$H$65,4,0)*1000</f>
        <v>#N/A</v>
      </c>
      <c r="H18" s="32" t="e">
        <f>VLOOKUP(EOMONTH($B18,0),SCD!$B$6:$H$65,5,0)*1000</f>
        <v>#N/A</v>
      </c>
      <c r="I18" s="19">
        <v>1</v>
      </c>
      <c r="J18" s="19">
        <v>1</v>
      </c>
      <c r="K18" s="19">
        <f>Parâmetros!$D$6</f>
        <v>1</v>
      </c>
      <c r="L18" s="15" t="e">
        <f t="shared" ref="L18" si="4">(C18*G18*(1-J18)+D18*H18*(1-J18)+E18*G18*(1-I18)+F18*H18*(1-I18))*K18</f>
        <v>#N/A</v>
      </c>
    </row>
    <row r="19" spans="2:12" x14ac:dyDescent="0.35">
      <c r="B19" s="16">
        <v>44532</v>
      </c>
      <c r="C19" s="14" t="e">
        <f>IF(VLOOKUP($B19-1,'NF Diesel'!$T$5:$Z$19,7,0)="SIM",VLOOKUP($B19,'NF Diesel'!$B$5:$H$58,7,0)/VLOOKUP($B19,'NF Diesel'!$B$5:$H$58,3,0),IF(VLOOKUP($B19-1,'NF Diesel'!$T$5:$Z$19,4,0)&gt;VLOOKUP($B19-1,'NF Diesel'!$T$5:$Z$19,3,0),VLOOKUP($B19,'NF Diesel'!$B$5:$H$58,7,0)/VLOOKUP($B19,'NF Diesel'!$B$5:$H$58,3,0),IF(VLOOKUP($B19-1,'NF Diesel'!$T$5:$Z$19,4,0)&gt;VLOOKUP($B18-1,'NF Diesel'!$T$5:$Z$19,3,0),VLOOKUP($B18,'NF Diesel'!$B$5:$H$58,7,0)/VLOOKUP($B18,'NF Diesel'!$B$5:$H$58,3,0),Tributos!C18)))</f>
        <v>#N/A</v>
      </c>
      <c r="D19" s="14" t="e">
        <f>IF(VLOOKUP($B19-1,'NF Óleo Comb'!$J$5:$P$18,7,0)="SIM",VLOOKUP($B19,'NF Óleo Comb'!$B$5:$H$74,6,0)/VLOOKUP($B19,'NF Óleo Comb'!$B$5:$H$74,3,0),IF(VLOOKUP($B19-1,'NF Óleo Comb'!$J$5:$P$18,4,0)&gt;VLOOKUP($B19-1,'NF Óleo Comb'!$J$5:$P$18,3,0),VLOOKUP($B19,'NF Óleo Comb'!$B$5:$H$74,6,0)/VLOOKUP($B19,'NF Óleo Comb'!$B$5:$H$74,3,0),IF(VLOOKUP($B19-1,'NF Óleo Comb'!$J$5:$P$18,4,0)&gt;VLOOKUP($B18-1,'NF Óleo Comb'!$J$5:$P$18,3,0),VLOOKUP($B18,'NF Óleo Comb'!$B$5:$H$74,6,0)/VLOOKUP($B18,'NF Óleo Comb'!$B$5:$H$74,3,0),Tributos!D18)))</f>
        <v>#N/A</v>
      </c>
      <c r="E19" s="14" t="e">
        <f>IF(VLOOKUP($B19-1,'NF Diesel'!$T$5:$Z$19,7,0)="SIM",VLOOKUP($B19,'NF Diesel'!$B$5:$H$58,6,0)/VLOOKUP($B19,'NF Diesel'!$B$5:$H$58,3,0),IF(VLOOKUP($B19-1,'NF Diesel'!$T$5:$Z$19,4,0)&gt;VLOOKUP($B19-1,'NF Diesel'!$T$5:$Z$19,3,0),VLOOKUP($B19,'NF Diesel'!$B$5:$H$58,6,0)/VLOOKUP($B19,'NF Diesel'!$B$5:$H$58,3,0),IF(VLOOKUP($B19-1,'NF Diesel'!$T$5:$Z$19,4,0)&gt;VLOOKUP($B18-1,'NF Diesel'!$T$5:$Z$19,3,0),VLOOKUP($B18,'NF Diesel'!$B$5:$H$58,6,0)/VLOOKUP($B18,'NF Diesel'!$B$5:$H$58,3,0),Tributos!E18)))</f>
        <v>#N/A</v>
      </c>
      <c r="F19" s="14" t="e">
        <f>IF(VLOOKUP($B19-1,'NF Óleo Comb'!$J$5:$P$18,7,0)="SIM",VLOOKUP($B19,'NF Óleo Comb'!$B$5:$H$74,5,0)/VLOOKUP($B19,'NF Óleo Comb'!$B$5:$H$74,3,0),IF(VLOOKUP($B19-1,'NF Óleo Comb'!$J$5:$P$18,4,0)&gt;VLOOKUP($B19-1,'NF Óleo Comb'!$J$5:$P$18,3,0),VLOOKUP($B19,'NF Óleo Comb'!$B$5:$H$74,5,0)/VLOOKUP($B19,'NF Óleo Comb'!$B$5:$H$74,3,0),IF(VLOOKUP($B19-1,'NF Óleo Comb'!$J$5:$P$18,4,0)&gt;VLOOKUP($B18-1,'NF Óleo Comb'!$J$5:$P$18,3,0),VLOOKUP($B18,'NF Óleo Comb'!$B$5:$H$74,5,0)/VLOOKUP($B18,'NF Óleo Comb'!$B$5:$H$74,3,0),Tributos!F18)))</f>
        <v>#N/A</v>
      </c>
      <c r="G19" s="32" t="e">
        <f>VLOOKUP(EOMONTH($B19,0),SCD!$B$6:$H$65,4,0)*1000</f>
        <v>#N/A</v>
      </c>
      <c r="H19" s="32" t="e">
        <f>VLOOKUP(EOMONTH($B19,0),SCD!$B$6:$H$65,5,0)*1000</f>
        <v>#N/A</v>
      </c>
      <c r="I19" s="19">
        <v>1</v>
      </c>
      <c r="J19" s="19">
        <v>1</v>
      </c>
      <c r="K19" s="19">
        <f>Parâmetros!$D$6</f>
        <v>1</v>
      </c>
      <c r="L19" s="15" t="e">
        <f t="shared" ref="L19" si="5">(C19*G19*(1-J19)+D19*H19*(1-J19)+E19*G19*(1-I19)+F19*H19*(1-I19))*K19</f>
        <v>#N/A</v>
      </c>
    </row>
  </sheetData>
  <mergeCells count="1">
    <mergeCell ref="B1:L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00B0F0"/>
  </sheetPr>
  <dimension ref="B1:U41"/>
  <sheetViews>
    <sheetView showGridLines="0" zoomScale="85" zoomScaleNormal="85" workbookViewId="0">
      <selection activeCell="K15" sqref="K15"/>
    </sheetView>
  </sheetViews>
  <sheetFormatPr defaultRowHeight="14.5" x14ac:dyDescent="0.35"/>
  <cols>
    <col min="1" max="1" width="4.1796875" customWidth="1"/>
    <col min="2" max="2" width="14.81640625" customWidth="1"/>
    <col min="3" max="3" width="12.7265625" bestFit="1" customWidth="1"/>
    <col min="4" max="4" width="12.54296875" customWidth="1"/>
    <col min="5" max="5" width="15" customWidth="1"/>
    <col min="6" max="6" width="12.54296875" customWidth="1"/>
    <col min="7" max="7" width="10.54296875" bestFit="1" customWidth="1"/>
    <col min="8" max="8" width="17.1796875" bestFit="1" customWidth="1"/>
    <col min="9" max="9" width="9.453125" customWidth="1"/>
    <col min="11" max="11" width="19.1796875" customWidth="1"/>
    <col min="12" max="12" width="20.54296875" customWidth="1"/>
    <col min="13" max="13" width="15.81640625" bestFit="1" customWidth="1"/>
    <col min="14" max="14" width="17.1796875" bestFit="1" customWidth="1"/>
    <col min="15" max="15" width="19.54296875" bestFit="1" customWidth="1"/>
    <col min="16" max="16" width="18" bestFit="1" customWidth="1"/>
    <col min="17" max="17" width="36.1796875" style="39" bestFit="1" customWidth="1"/>
    <col min="18" max="18" width="15.453125" customWidth="1"/>
    <col min="19" max="19" width="14" bestFit="1" customWidth="1"/>
    <col min="21" max="21" width="12.54296875" bestFit="1" customWidth="1"/>
  </cols>
  <sheetData>
    <row r="1" spans="2:21" ht="15" customHeight="1" x14ac:dyDescent="0.35">
      <c r="B1" s="363" t="s">
        <v>312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</row>
    <row r="2" spans="2:21" ht="15" customHeight="1" x14ac:dyDescent="0.35"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</row>
    <row r="3" spans="2:21" ht="15" customHeight="1" x14ac:dyDescent="0.35"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</row>
    <row r="5" spans="2:21" s="3" customFormat="1" ht="43.5" x14ac:dyDescent="0.35">
      <c r="B5" s="168" t="s">
        <v>109</v>
      </c>
      <c r="C5" s="72" t="s">
        <v>302</v>
      </c>
      <c r="D5" s="72" t="s">
        <v>6</v>
      </c>
      <c r="E5" s="72" t="s">
        <v>10</v>
      </c>
      <c r="F5" s="93" t="s">
        <v>9</v>
      </c>
      <c r="G5" s="72" t="s">
        <v>8</v>
      </c>
      <c r="H5" s="111" t="s">
        <v>11</v>
      </c>
      <c r="I5" s="72" t="s">
        <v>12</v>
      </c>
      <c r="K5" s="111" t="s">
        <v>14</v>
      </c>
      <c r="L5" s="72" t="s">
        <v>134</v>
      </c>
      <c r="M5" s="72" t="s">
        <v>15</v>
      </c>
      <c r="N5" s="111" t="s">
        <v>17</v>
      </c>
      <c r="O5" s="72" t="s">
        <v>16</v>
      </c>
      <c r="P5" s="116" t="s">
        <v>18</v>
      </c>
      <c r="Q5" s="40"/>
    </row>
    <row r="6" spans="2:21" x14ac:dyDescent="0.35">
      <c r="B6" s="99">
        <v>45658</v>
      </c>
      <c r="C6" s="112">
        <v>100000</v>
      </c>
      <c r="D6" s="113">
        <f>Parâmetros!$D$6</f>
        <v>1</v>
      </c>
      <c r="E6" s="112">
        <f>Parâmetros!$D$13+Parâmetros!$D$18-Parâmetros!$D$23</f>
        <v>2953.9282750000107</v>
      </c>
      <c r="F6" s="112">
        <f>$C6*$D6-$E6</f>
        <v>97046.071724999987</v>
      </c>
      <c r="G6" s="114">
        <f>'NF carvão'!M14</f>
        <v>127.51</v>
      </c>
      <c r="H6" s="114">
        <f>F6*G6</f>
        <v>12374344.605654748</v>
      </c>
      <c r="I6" s="115">
        <v>1</v>
      </c>
      <c r="K6" s="117">
        <f>ROUND(H6,2)</f>
        <v>12374344.609999999</v>
      </c>
      <c r="L6" s="114">
        <f>Secund!I8</f>
        <v>117621.21</v>
      </c>
      <c r="M6" s="114">
        <f>Secund!S8</f>
        <v>112959.5</v>
      </c>
      <c r="N6" s="114">
        <f>ROUND(SUM(K6:M6),2)</f>
        <v>12604925.32</v>
      </c>
      <c r="O6" s="114">
        <f>Parâmetros!$D$25</f>
        <v>20894186.205000002</v>
      </c>
      <c r="P6" s="114">
        <f>ROUND(MIN(N6,O6),2)</f>
        <v>12604925.32</v>
      </c>
      <c r="R6" s="39"/>
      <c r="S6" s="39"/>
      <c r="U6" s="65"/>
    </row>
    <row r="7" spans="2:21" s="332" customFormat="1" x14ac:dyDescent="0.35">
      <c r="B7" s="327">
        <v>45689</v>
      </c>
      <c r="C7" s="328">
        <v>100000</v>
      </c>
      <c r="D7" s="329">
        <f>Parâmetros!$D$6</f>
        <v>1</v>
      </c>
      <c r="E7" s="328">
        <f>Parâmetros!$D$13+Parâmetros!$D$18-Parâmetros!$D$23</f>
        <v>2953.9282750000107</v>
      </c>
      <c r="F7" s="328">
        <f t="shared" ref="F7:F10" si="0">$C7*$D7-$E7</f>
        <v>97046.071724999987</v>
      </c>
      <c r="G7" s="330">
        <v>127.51</v>
      </c>
      <c r="H7" s="330">
        <f>F7*G7</f>
        <v>12374344.605654748</v>
      </c>
      <c r="I7" s="331"/>
      <c r="K7" s="330">
        <f>ROUND(H7,2)</f>
        <v>12374344.609999999</v>
      </c>
      <c r="L7" s="330">
        <f>ROUND(Secund!I9,2)</f>
        <v>0</v>
      </c>
      <c r="M7" s="330">
        <f>ROUND(Secund!S9,2)</f>
        <v>0</v>
      </c>
      <c r="N7" s="330">
        <f>ROUND(SUM(K7:M7),2)</f>
        <v>12374344.609999999</v>
      </c>
      <c r="O7" s="330">
        <f>Parâmetros!$D$25</f>
        <v>20894186.205000002</v>
      </c>
      <c r="P7" s="330">
        <f>ROUND(MIN(N7,O7),2)</f>
        <v>12374344.609999999</v>
      </c>
      <c r="Q7" s="333"/>
      <c r="R7" s="333"/>
      <c r="S7" s="333"/>
      <c r="U7" s="334"/>
    </row>
    <row r="8" spans="2:21" s="332" customFormat="1" x14ac:dyDescent="0.35">
      <c r="B8" s="327">
        <v>45717</v>
      </c>
      <c r="C8" s="328">
        <v>100000</v>
      </c>
      <c r="D8" s="329">
        <f>Parâmetros!$D$6</f>
        <v>1</v>
      </c>
      <c r="E8" s="328">
        <f>Parâmetros!$D$13+Parâmetros!$D$18-Parâmetros!$D$23</f>
        <v>2953.9282750000107</v>
      </c>
      <c r="F8" s="328">
        <f t="shared" si="0"/>
        <v>97046.071724999987</v>
      </c>
      <c r="G8" s="330">
        <v>127.51</v>
      </c>
      <c r="H8" s="330">
        <f t="shared" ref="H8:H12" si="1">F8*G8</f>
        <v>12374344.605654748</v>
      </c>
      <c r="I8" s="331"/>
      <c r="K8" s="330">
        <f t="shared" ref="K8:K9" si="2">H8</f>
        <v>12374344.605654748</v>
      </c>
      <c r="L8" s="330">
        <f>ROUND(Secund!I10,2)</f>
        <v>0</v>
      </c>
      <c r="M8" s="330">
        <f>ROUND(Secund!S10,2)</f>
        <v>20197.490000000002</v>
      </c>
      <c r="N8" s="330">
        <f t="shared" ref="N8:N17" si="3">ROUND(SUM(K8:M8),2)</f>
        <v>12394542.1</v>
      </c>
      <c r="O8" s="330">
        <f>Parâmetros!$D$25</f>
        <v>20894186.205000002</v>
      </c>
      <c r="P8" s="330">
        <f t="shared" ref="P8:P11" si="4">MIN(N8,O8)</f>
        <v>12394542.1</v>
      </c>
      <c r="Q8" s="333"/>
      <c r="R8" s="333"/>
      <c r="S8" s="333"/>
      <c r="U8" s="334"/>
    </row>
    <row r="9" spans="2:21" s="332" customFormat="1" x14ac:dyDescent="0.35">
      <c r="B9" s="327">
        <v>45748</v>
      </c>
      <c r="C9" s="328">
        <v>100000</v>
      </c>
      <c r="D9" s="329">
        <f>Parâmetros!$D$6</f>
        <v>1</v>
      </c>
      <c r="E9" s="328">
        <f>Parâmetros!$D$13+Parâmetros!$D$18-Parâmetros!$D$23</f>
        <v>2953.9282750000107</v>
      </c>
      <c r="F9" s="328">
        <f t="shared" si="0"/>
        <v>97046.071724999987</v>
      </c>
      <c r="G9" s="330">
        <v>127.51</v>
      </c>
      <c r="H9" s="330">
        <f>F9*G9</f>
        <v>12374344.605654748</v>
      </c>
      <c r="I9" s="331">
        <v>1</v>
      </c>
      <c r="K9" s="330">
        <f t="shared" si="2"/>
        <v>12374344.605654748</v>
      </c>
      <c r="L9" s="330">
        <f>ROUND(Secund!I11,2)</f>
        <v>1917102.42</v>
      </c>
      <c r="M9" s="330">
        <f>Secund!S11</f>
        <v>769929.75</v>
      </c>
      <c r="N9" s="330">
        <f t="shared" si="3"/>
        <v>15061376.779999999</v>
      </c>
      <c r="O9" s="330">
        <f>Parâmetros!$D$25</f>
        <v>20894186.205000002</v>
      </c>
      <c r="P9" s="330">
        <f t="shared" si="4"/>
        <v>15061376.779999999</v>
      </c>
      <c r="Q9" s="333"/>
      <c r="R9" s="333"/>
      <c r="S9" s="333"/>
      <c r="U9" s="334"/>
    </row>
    <row r="10" spans="2:21" x14ac:dyDescent="0.35">
      <c r="B10" s="99">
        <v>45778</v>
      </c>
      <c r="C10" s="346">
        <v>100000</v>
      </c>
      <c r="D10" s="347">
        <f>Parâmetros!$D$6</f>
        <v>1</v>
      </c>
      <c r="E10" s="346">
        <f>Parâmetros!$D$13+Parâmetros!$D$18-Parâmetros!$D$23</f>
        <v>2953.9282750000107</v>
      </c>
      <c r="F10" s="346">
        <f t="shared" si="0"/>
        <v>97046.071724999987</v>
      </c>
      <c r="G10" s="117">
        <f>'NF carvão'!$N$16</f>
        <v>137.26</v>
      </c>
      <c r="H10" s="117">
        <f t="shared" ref="H10" si="5">F10*G10</f>
        <v>13320543.804973498</v>
      </c>
      <c r="I10" s="348"/>
      <c r="K10" s="117">
        <f>H10</f>
        <v>13320543.804973498</v>
      </c>
      <c r="L10" s="117">
        <f>Secund!I12</f>
        <v>0</v>
      </c>
      <c r="M10" s="117">
        <f>Secund!S12</f>
        <v>14005.5</v>
      </c>
      <c r="N10" s="117">
        <f t="shared" si="3"/>
        <v>13334549.300000001</v>
      </c>
      <c r="O10" s="117">
        <f>Parâmetros!$D$25</f>
        <v>20894186.205000002</v>
      </c>
      <c r="P10" s="117">
        <f t="shared" si="4"/>
        <v>13334549.300000001</v>
      </c>
      <c r="R10" s="39"/>
      <c r="S10" s="39"/>
      <c r="U10" s="65"/>
    </row>
    <row r="11" spans="2:21" x14ac:dyDescent="0.35">
      <c r="B11" s="99">
        <v>45809</v>
      </c>
      <c r="C11" s="112">
        <v>100000</v>
      </c>
      <c r="D11" s="113">
        <f>ROUND(Parâmetros!$D$6,6)</f>
        <v>1</v>
      </c>
      <c r="E11" s="112">
        <f>Parâmetros!$D$13+Parâmetros!$D$18-Parâmetros!$D$23</f>
        <v>2953.9282750000107</v>
      </c>
      <c r="F11" s="112">
        <f t="shared" ref="F11:F17" si="6">$C11*$D11-$E11</f>
        <v>97046.071724999987</v>
      </c>
      <c r="G11" s="114">
        <f>'NF carvão'!$N$16</f>
        <v>137.26</v>
      </c>
      <c r="H11" s="114">
        <f t="shared" si="1"/>
        <v>13320543.804973498</v>
      </c>
      <c r="I11" s="115"/>
      <c r="K11" s="114">
        <f>H11</f>
        <v>13320543.804973498</v>
      </c>
      <c r="L11" s="117">
        <f>Secund!I13</f>
        <v>497425.4</v>
      </c>
      <c r="M11" s="114">
        <f>Secund!S13</f>
        <v>13105.2</v>
      </c>
      <c r="N11" s="114">
        <f t="shared" si="3"/>
        <v>13831074.4</v>
      </c>
      <c r="O11" s="114">
        <f>Parâmetros!$D$25</f>
        <v>20894186.205000002</v>
      </c>
      <c r="P11" s="114">
        <f t="shared" si="4"/>
        <v>13831074.4</v>
      </c>
    </row>
    <row r="12" spans="2:21" x14ac:dyDescent="0.35">
      <c r="B12" s="99">
        <v>45839</v>
      </c>
      <c r="C12" s="112">
        <v>100000</v>
      </c>
      <c r="D12" s="113">
        <f>ROUND(Parâmetros!$D$6,6)</f>
        <v>1</v>
      </c>
      <c r="E12" s="112">
        <f>Parâmetros!$D$13+Parâmetros!$D$18-Parâmetros!$D$23</f>
        <v>2953.9282750000107</v>
      </c>
      <c r="F12" s="112">
        <f t="shared" si="6"/>
        <v>97046.071724999987</v>
      </c>
      <c r="G12" s="114">
        <f>'NF carvão'!$N$16</f>
        <v>137.26</v>
      </c>
      <c r="H12" s="114">
        <f t="shared" si="1"/>
        <v>13320543.804973498</v>
      </c>
      <c r="I12" s="115"/>
      <c r="K12" s="114">
        <f t="shared" ref="K12" si="7">H12</f>
        <v>13320543.804973498</v>
      </c>
      <c r="L12" s="114">
        <f>Secund!I14</f>
        <v>456192.2</v>
      </c>
      <c r="M12" s="114">
        <f>Secund!S14</f>
        <v>271068.59999999998</v>
      </c>
      <c r="N12" s="114">
        <f t="shared" si="3"/>
        <v>14047804.6</v>
      </c>
      <c r="O12" s="114">
        <f>Parâmetros!$D$25</f>
        <v>20894186.205000002</v>
      </c>
      <c r="P12" s="114">
        <f t="shared" ref="P12" si="8">MIN(N12,O12)</f>
        <v>14047804.6</v>
      </c>
    </row>
    <row r="13" spans="2:21" x14ac:dyDescent="0.35">
      <c r="B13" s="99">
        <v>45870</v>
      </c>
      <c r="C13" s="112">
        <v>100000</v>
      </c>
      <c r="D13" s="113">
        <f>ROUND(Parâmetros!$D$6,6)</f>
        <v>1</v>
      </c>
      <c r="E13" s="112">
        <f>Parâmetros!$D$13+Parâmetros!$D$18-Parâmetros!$D$23</f>
        <v>2953.9282750000107</v>
      </c>
      <c r="F13" s="112">
        <f t="shared" si="6"/>
        <v>97046.071724999987</v>
      </c>
      <c r="G13" s="114">
        <f>'NF carvão'!$N$16</f>
        <v>137.26</v>
      </c>
      <c r="H13" s="114">
        <f t="shared" ref="H13" si="9">F13*G13</f>
        <v>13320543.804973498</v>
      </c>
      <c r="I13" s="115"/>
      <c r="K13" s="114">
        <f>H13</f>
        <v>13320543.804973498</v>
      </c>
      <c r="L13" s="114">
        <f>Secund!I15</f>
        <v>243690.86</v>
      </c>
      <c r="M13" s="114">
        <f>Secund!S15</f>
        <v>82760</v>
      </c>
      <c r="N13" s="114">
        <f t="shared" si="3"/>
        <v>13646994.66</v>
      </c>
      <c r="O13" s="114">
        <f>Parâmetros!$D$25</f>
        <v>20894186.205000002</v>
      </c>
      <c r="P13" s="114">
        <f t="shared" ref="P13" si="10">MIN(N13,O13)</f>
        <v>13646994.66</v>
      </c>
    </row>
    <row r="14" spans="2:21" x14ac:dyDescent="0.35">
      <c r="B14" s="99">
        <v>45901</v>
      </c>
      <c r="C14" s="112">
        <v>100000</v>
      </c>
      <c r="D14" s="113">
        <f>ROUND(Parâmetros!$D$6,6)</f>
        <v>1</v>
      </c>
      <c r="E14" s="112">
        <f>Parâmetros!$D$13+Parâmetros!$D$18-Parâmetros!$D$23</f>
        <v>2953.9282750000107</v>
      </c>
      <c r="F14" s="112">
        <f t="shared" si="6"/>
        <v>97046.071724999987</v>
      </c>
      <c r="G14" s="114">
        <f>'NF carvão'!$N$16</f>
        <v>137.26</v>
      </c>
      <c r="H14" s="114">
        <f t="shared" ref="H14:H15" si="11">F14*G14</f>
        <v>13320543.804973498</v>
      </c>
      <c r="I14" s="115"/>
      <c r="K14" s="114">
        <f t="shared" ref="K14" si="12">H14</f>
        <v>13320543.804973498</v>
      </c>
      <c r="L14" s="114">
        <f>Secund!I16</f>
        <v>429951.48</v>
      </c>
      <c r="M14" s="114">
        <f>Secund!S16</f>
        <v>175548.24</v>
      </c>
      <c r="N14" s="114">
        <f>ROUND(SUM(K14:M14),2)</f>
        <v>13926043.52</v>
      </c>
      <c r="O14" s="114">
        <f>Parâmetros!$D$25</f>
        <v>20894186.205000002</v>
      </c>
      <c r="P14" s="114">
        <f t="shared" ref="P14" si="13">MIN(N14,O14)</f>
        <v>13926043.52</v>
      </c>
    </row>
    <row r="15" spans="2:21" x14ac:dyDescent="0.35">
      <c r="B15" s="99">
        <v>45931</v>
      </c>
      <c r="C15" s="112">
        <v>100000</v>
      </c>
      <c r="D15" s="113">
        <f>ROUND(Parâmetros!$D$6,6)</f>
        <v>1</v>
      </c>
      <c r="E15" s="112">
        <f>Parâmetros!$D$13+Parâmetros!$D$18-Parâmetros!$D$23</f>
        <v>2953.9282750000107</v>
      </c>
      <c r="F15" s="112">
        <f t="shared" si="6"/>
        <v>97046.071724999987</v>
      </c>
      <c r="G15" s="114">
        <f>'NF carvão'!$N$16</f>
        <v>137.26</v>
      </c>
      <c r="H15" s="114">
        <f t="shared" si="11"/>
        <v>13320543.804973498</v>
      </c>
      <c r="I15" s="115"/>
      <c r="K15" s="114">
        <f t="shared" ref="K15" si="14">H15</f>
        <v>13320543.804973498</v>
      </c>
      <c r="L15" s="114">
        <f>Secund!I17</f>
        <v>451888.6</v>
      </c>
      <c r="M15" s="114">
        <f>Secund!S17</f>
        <v>87258.54</v>
      </c>
      <c r="N15" s="114">
        <f t="shared" si="3"/>
        <v>13859690.939999999</v>
      </c>
      <c r="O15" s="114">
        <f>Parâmetros!$D$25</f>
        <v>20894186.205000002</v>
      </c>
      <c r="P15" s="114">
        <f t="shared" ref="P15" si="15">MIN(N15,O15)</f>
        <v>13859690.939999999</v>
      </c>
    </row>
    <row r="16" spans="2:21" x14ac:dyDescent="0.35">
      <c r="B16" s="99">
        <v>45962</v>
      </c>
      <c r="C16" s="112">
        <v>100000</v>
      </c>
      <c r="D16" s="113">
        <f>ROUND(Parâmetros!$D$6,6)</f>
        <v>1</v>
      </c>
      <c r="E16" s="112">
        <f>Parâmetros!$D$13+Parâmetros!$D$18-Parâmetros!$D$23</f>
        <v>2953.9282750000107</v>
      </c>
      <c r="F16" s="112">
        <f t="shared" si="6"/>
        <v>97046.071724999987</v>
      </c>
      <c r="G16" s="114">
        <f>'NF carvão'!$N$16</f>
        <v>137.26</v>
      </c>
      <c r="H16" s="114">
        <f t="shared" ref="H16" si="16">F16*G16</f>
        <v>13320543.804973498</v>
      </c>
      <c r="I16" s="115">
        <v>1</v>
      </c>
      <c r="K16" s="114">
        <f t="shared" ref="K16" si="17">H16</f>
        <v>13320543.804973498</v>
      </c>
      <c r="L16" s="114">
        <f>Secund!I18</f>
        <v>0</v>
      </c>
      <c r="M16" s="114">
        <f>Secund!S18</f>
        <v>0</v>
      </c>
      <c r="N16" s="114">
        <f t="shared" si="3"/>
        <v>13320543.800000001</v>
      </c>
      <c r="O16" s="114">
        <f>Parâmetros!$D$25</f>
        <v>20894186.205000002</v>
      </c>
      <c r="P16" s="114">
        <f t="shared" ref="P16" si="18">MIN(N16,O16)</f>
        <v>13320543.800000001</v>
      </c>
      <c r="R16" s="39"/>
    </row>
    <row r="17" spans="2:16" x14ac:dyDescent="0.35">
      <c r="B17" s="99">
        <v>45992</v>
      </c>
      <c r="C17" s="112">
        <v>100000</v>
      </c>
      <c r="D17" s="113">
        <f>ROUND(Parâmetros!$D$6,6)</f>
        <v>1</v>
      </c>
      <c r="E17" s="112">
        <f>Parâmetros!$D$13+Parâmetros!$D$18-Parâmetros!$D$23</f>
        <v>2953.9282750000107</v>
      </c>
      <c r="F17" s="112">
        <f t="shared" si="6"/>
        <v>97046.071724999987</v>
      </c>
      <c r="G17" s="114">
        <f>'NF carvão'!$N$16</f>
        <v>137.26</v>
      </c>
      <c r="H17" s="114">
        <f t="shared" ref="H17" si="19">F17*G17</f>
        <v>13320543.804973498</v>
      </c>
      <c r="I17" s="115">
        <v>1</v>
      </c>
      <c r="K17" s="114">
        <f t="shared" ref="K17" si="20">H17</f>
        <v>13320543.804973498</v>
      </c>
      <c r="L17" s="114">
        <f>Secund!I19</f>
        <v>697039.44</v>
      </c>
      <c r="M17" s="114">
        <f>Secund!S19</f>
        <v>115206.63</v>
      </c>
      <c r="N17" s="114">
        <f t="shared" si="3"/>
        <v>14132789.869999999</v>
      </c>
      <c r="O17" s="114">
        <f>Parâmetros!$D$25</f>
        <v>20894186.205000002</v>
      </c>
      <c r="P17" s="114">
        <f t="shared" ref="P17" si="21">MIN(N17,O17)</f>
        <v>14132789.869999999</v>
      </c>
    </row>
    <row r="18" spans="2:16" x14ac:dyDescent="0.35">
      <c r="B18" s="244"/>
      <c r="C18" s="246"/>
      <c r="D18" s="247"/>
      <c r="E18" s="246"/>
      <c r="F18" s="246"/>
      <c r="G18" s="248"/>
      <c r="H18" s="248"/>
      <c r="I18" s="249"/>
      <c r="K18" s="248"/>
      <c r="L18" s="248"/>
      <c r="M18" s="248"/>
      <c r="N18" s="248"/>
      <c r="O18" s="248"/>
      <c r="P18" s="248"/>
    </row>
    <row r="19" spans="2:16" x14ac:dyDescent="0.35">
      <c r="D19" s="63"/>
      <c r="K19" s="364"/>
      <c r="L19" s="261"/>
      <c r="M19" s="191"/>
      <c r="N19" s="11"/>
      <c r="P19" s="39"/>
    </row>
    <row r="20" spans="2:16" x14ac:dyDescent="0.35">
      <c r="D20" s="63"/>
      <c r="H20" s="68"/>
      <c r="K20" s="364"/>
      <c r="L20" s="261"/>
      <c r="M20" s="242"/>
    </row>
    <row r="21" spans="2:16" x14ac:dyDescent="0.35">
      <c r="D21" s="63"/>
      <c r="H21" s="65"/>
      <c r="J21" s="244"/>
      <c r="K21" s="11"/>
      <c r="L21" s="11"/>
      <c r="M21" s="65"/>
    </row>
    <row r="22" spans="2:16" x14ac:dyDescent="0.35">
      <c r="B22" s="12"/>
      <c r="D22" s="63"/>
      <c r="J22" s="245"/>
      <c r="K22" s="11"/>
      <c r="L22" s="11"/>
      <c r="M22" s="65"/>
    </row>
    <row r="23" spans="2:16" x14ac:dyDescent="0.35">
      <c r="B23" s="12" t="s">
        <v>217</v>
      </c>
      <c r="D23" s="63"/>
      <c r="J23" s="244"/>
      <c r="K23" s="11"/>
      <c r="L23" s="11"/>
      <c r="M23" s="65"/>
    </row>
    <row r="24" spans="2:16" x14ac:dyDescent="0.35">
      <c r="B24" s="35" t="s">
        <v>218</v>
      </c>
      <c r="D24" s="63"/>
      <c r="J24" s="244"/>
      <c r="K24" s="11"/>
      <c r="L24" s="11"/>
      <c r="M24" s="65"/>
    </row>
    <row r="25" spans="2:16" x14ac:dyDescent="0.35">
      <c r="B25" s="12" t="s">
        <v>219</v>
      </c>
      <c r="D25" s="63"/>
      <c r="M25" s="65"/>
    </row>
    <row r="26" spans="2:16" x14ac:dyDescent="0.35">
      <c r="D26" s="63"/>
    </row>
    <row r="27" spans="2:16" x14ac:dyDescent="0.35">
      <c r="B27" s="317" t="s">
        <v>311</v>
      </c>
      <c r="K27" s="11"/>
      <c r="L27" s="11"/>
      <c r="M27" s="11"/>
    </row>
    <row r="32" spans="2:16" x14ac:dyDescent="0.35">
      <c r="K32" s="364"/>
      <c r="L32" s="364"/>
    </row>
    <row r="33" spans="10:13" x14ac:dyDescent="0.35">
      <c r="K33" s="364"/>
      <c r="L33" s="364"/>
      <c r="M33" s="242"/>
    </row>
    <row r="34" spans="10:13" x14ac:dyDescent="0.35">
      <c r="J34" s="244"/>
      <c r="K34" s="11"/>
      <c r="L34" s="11"/>
      <c r="M34" s="65"/>
    </row>
    <row r="35" spans="10:13" x14ac:dyDescent="0.35">
      <c r="J35" s="244"/>
      <c r="K35" s="11"/>
      <c r="L35" s="11"/>
      <c r="M35" s="65"/>
    </row>
    <row r="36" spans="10:13" x14ac:dyDescent="0.35">
      <c r="J36" s="244"/>
      <c r="K36" s="11"/>
      <c r="L36" s="11"/>
      <c r="M36" s="65"/>
    </row>
    <row r="37" spans="10:13" x14ac:dyDescent="0.35">
      <c r="J37" s="244"/>
      <c r="K37" s="11"/>
      <c r="L37" s="11"/>
      <c r="M37" s="65"/>
    </row>
    <row r="38" spans="10:13" x14ac:dyDescent="0.35">
      <c r="J38" s="245"/>
      <c r="K38" s="11"/>
      <c r="L38" s="11"/>
      <c r="M38" s="65"/>
    </row>
    <row r="39" spans="10:13" x14ac:dyDescent="0.35">
      <c r="J39" s="244"/>
      <c r="K39" s="11"/>
      <c r="L39" s="11"/>
      <c r="M39" s="65"/>
    </row>
    <row r="40" spans="10:13" x14ac:dyDescent="0.35">
      <c r="J40" s="244"/>
      <c r="K40" s="11"/>
      <c r="L40" s="11"/>
      <c r="M40" s="65"/>
    </row>
    <row r="41" spans="10:13" x14ac:dyDescent="0.35">
      <c r="M41" s="65"/>
    </row>
  </sheetData>
  <mergeCells count="4">
    <mergeCell ref="B1:P3"/>
    <mergeCell ref="K32:K33"/>
    <mergeCell ref="L32:L33"/>
    <mergeCell ref="K19:K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/>
  <dimension ref="B1:S83"/>
  <sheetViews>
    <sheetView showGridLines="0" topLeftCell="A65" zoomScale="70" zoomScaleNormal="70" workbookViewId="0">
      <selection activeCell="E80" sqref="E80:G80"/>
    </sheetView>
  </sheetViews>
  <sheetFormatPr defaultRowHeight="14.5" x14ac:dyDescent="0.35"/>
  <cols>
    <col min="1" max="1" width="3" customWidth="1"/>
    <col min="2" max="2" width="11.1796875" bestFit="1" customWidth="1"/>
    <col min="3" max="3" width="11.1796875" customWidth="1"/>
    <col min="4" max="4" width="12.54296875" bestFit="1" customWidth="1"/>
    <col min="5" max="5" width="17.36328125" bestFit="1" customWidth="1"/>
    <col min="6" max="6" width="17.81640625" customWidth="1"/>
    <col min="7" max="7" width="17.1796875" bestFit="1" customWidth="1"/>
    <col min="8" max="8" width="20.26953125" customWidth="1"/>
    <col min="9" max="9" width="22.453125" bestFit="1" customWidth="1"/>
    <col min="10" max="11" width="19" customWidth="1"/>
    <col min="12" max="12" width="13.1796875" customWidth="1"/>
    <col min="13" max="16" width="15.7265625" customWidth="1"/>
    <col min="17" max="17" width="15.26953125" bestFit="1" customWidth="1"/>
    <col min="18" max="19" width="15.7265625" customWidth="1"/>
  </cols>
  <sheetData>
    <row r="1" spans="2:19" x14ac:dyDescent="0.35">
      <c r="B1" s="375" t="s">
        <v>312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</row>
    <row r="2" spans="2:19" x14ac:dyDescent="0.35"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</row>
    <row r="3" spans="2:19" x14ac:dyDescent="0.35"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</row>
    <row r="4" spans="2:19" x14ac:dyDescent="0.3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6" spans="2:19" s="9" customFormat="1" ht="30.75" customHeight="1" x14ac:dyDescent="0.35">
      <c r="B6" s="372" t="s">
        <v>70</v>
      </c>
      <c r="C6" s="372"/>
      <c r="D6" s="372"/>
      <c r="E6" s="372"/>
      <c r="F6" s="373" t="s">
        <v>102</v>
      </c>
      <c r="G6" s="373"/>
      <c r="I6" s="169" t="s">
        <v>115</v>
      </c>
      <c r="J6" s="169" t="s">
        <v>64</v>
      </c>
      <c r="K6" s="169" t="s">
        <v>205</v>
      </c>
      <c r="L6" s="169" t="s">
        <v>208</v>
      </c>
      <c r="M6" s="169" t="s">
        <v>242</v>
      </c>
      <c r="N6" s="169" t="s">
        <v>190</v>
      </c>
    </row>
    <row r="7" spans="2:19" x14ac:dyDescent="0.35">
      <c r="B7" s="168" t="s">
        <v>64</v>
      </c>
      <c r="C7" s="168" t="s">
        <v>101</v>
      </c>
      <c r="D7" s="168" t="s">
        <v>66</v>
      </c>
      <c r="E7" s="168" t="s">
        <v>67</v>
      </c>
      <c r="F7" s="169" t="s">
        <v>65</v>
      </c>
      <c r="G7" s="74" t="s">
        <v>68</v>
      </c>
      <c r="I7" s="118" t="s">
        <v>180</v>
      </c>
      <c r="J7" s="118" t="s">
        <v>181</v>
      </c>
      <c r="K7" s="118" t="s">
        <v>206</v>
      </c>
      <c r="L7" s="118">
        <f>80.36+6.73</f>
        <v>87.09</v>
      </c>
      <c r="M7" s="126" t="s">
        <v>209</v>
      </c>
      <c r="N7" s="127">
        <f>1200000/12</f>
        <v>100000</v>
      </c>
      <c r="O7" s="67"/>
    </row>
    <row r="8" spans="2:19" x14ac:dyDescent="0.35">
      <c r="B8" s="118" t="s">
        <v>264</v>
      </c>
      <c r="C8" s="119">
        <v>45695</v>
      </c>
      <c r="D8" s="121">
        <v>13597</v>
      </c>
      <c r="E8" s="76">
        <v>100000</v>
      </c>
      <c r="F8" s="120">
        <v>117.74</v>
      </c>
      <c r="G8" s="82">
        <f>E8*F8</f>
        <v>11774000</v>
      </c>
      <c r="I8" s="118" t="s">
        <v>180</v>
      </c>
      <c r="J8" s="118" t="s">
        <v>181</v>
      </c>
      <c r="K8" s="118" t="s">
        <v>211</v>
      </c>
      <c r="L8" s="118">
        <f>80.36+6.73</f>
        <v>87.09</v>
      </c>
      <c r="M8" s="126">
        <v>112.16</v>
      </c>
      <c r="N8" s="127">
        <f>1200000/12</f>
        <v>100000</v>
      </c>
      <c r="O8" s="8"/>
      <c r="P8" s="5"/>
      <c r="Q8" s="5"/>
    </row>
    <row r="9" spans="2:19" x14ac:dyDescent="0.35">
      <c r="B9" s="118" t="s">
        <v>264</v>
      </c>
      <c r="C9" s="119">
        <v>45695</v>
      </c>
      <c r="D9" s="121">
        <v>736</v>
      </c>
      <c r="E9" s="76">
        <v>100000</v>
      </c>
      <c r="F9" s="120">
        <v>9.77</v>
      </c>
      <c r="G9" s="82">
        <f>E9*F9</f>
        <v>977000</v>
      </c>
      <c r="I9" s="118" t="s">
        <v>180</v>
      </c>
      <c r="J9" s="118" t="s">
        <v>181</v>
      </c>
      <c r="K9" s="118" t="s">
        <v>214</v>
      </c>
      <c r="L9" s="118">
        <v>112.16</v>
      </c>
      <c r="M9" s="126">
        <v>130.01</v>
      </c>
      <c r="N9" s="127">
        <f>1200000/12</f>
        <v>100000</v>
      </c>
      <c r="O9" s="66"/>
    </row>
    <row r="10" spans="2:19" x14ac:dyDescent="0.35">
      <c r="B10" s="118"/>
      <c r="C10" s="119"/>
      <c r="D10" s="121"/>
      <c r="E10" s="76"/>
      <c r="F10" s="120"/>
      <c r="G10" s="82"/>
      <c r="I10" s="118" t="s">
        <v>180</v>
      </c>
      <c r="J10" s="118" t="s">
        <v>181</v>
      </c>
      <c r="K10" s="118" t="s">
        <v>220</v>
      </c>
      <c r="L10" s="126">
        <v>130.01</v>
      </c>
      <c r="M10" s="126">
        <v>130.44</v>
      </c>
      <c r="N10" s="127">
        <f>1200000/12</f>
        <v>100000</v>
      </c>
      <c r="O10" s="66"/>
    </row>
    <row r="11" spans="2:19" x14ac:dyDescent="0.35">
      <c r="B11" s="118"/>
      <c r="C11" s="119"/>
      <c r="D11" s="121"/>
      <c r="E11" s="76"/>
      <c r="F11" s="120"/>
      <c r="G11" s="82"/>
      <c r="I11" s="128" t="s">
        <v>203</v>
      </c>
      <c r="J11" s="128" t="s">
        <v>204</v>
      </c>
      <c r="K11" s="128" t="s">
        <v>207</v>
      </c>
      <c r="L11" s="128">
        <v>78.52</v>
      </c>
      <c r="M11" s="129" t="s">
        <v>209</v>
      </c>
      <c r="N11" s="130">
        <f>10000/12</f>
        <v>833.33333333333337</v>
      </c>
      <c r="O11" s="8"/>
    </row>
    <row r="12" spans="2:19" x14ac:dyDescent="0.35">
      <c r="B12" s="118"/>
      <c r="C12" s="119"/>
      <c r="D12" s="121"/>
      <c r="E12" s="76"/>
      <c r="F12" s="120"/>
      <c r="G12" s="82"/>
      <c r="I12" s="128"/>
      <c r="J12" s="128" t="s">
        <v>204</v>
      </c>
      <c r="K12" s="128" t="s">
        <v>212</v>
      </c>
      <c r="L12" s="128">
        <v>87.87</v>
      </c>
      <c r="M12" s="129"/>
      <c r="N12" s="130">
        <f>10000/12</f>
        <v>833.33333333333337</v>
      </c>
      <c r="O12" s="8"/>
    </row>
    <row r="13" spans="2:19" ht="14.15" customHeight="1" x14ac:dyDescent="0.35">
      <c r="B13" s="374" t="s">
        <v>69</v>
      </c>
      <c r="C13" s="374"/>
      <c r="D13" s="374"/>
      <c r="E13" s="123">
        <f>E9</f>
        <v>100000</v>
      </c>
      <c r="F13" s="124">
        <f>SUM(F8:F12)</f>
        <v>127.50999999999999</v>
      </c>
      <c r="G13" s="125">
        <f>SUM(G8:G12)</f>
        <v>12751000</v>
      </c>
      <c r="I13" s="118" t="s">
        <v>241</v>
      </c>
      <c r="J13" s="118" t="s">
        <v>181</v>
      </c>
      <c r="K13" s="118" t="s">
        <v>243</v>
      </c>
      <c r="L13" s="126">
        <v>130.44</v>
      </c>
      <c r="M13" s="126">
        <v>127.51</v>
      </c>
      <c r="N13" s="127">
        <f>1200000/12</f>
        <v>100000</v>
      </c>
    </row>
    <row r="14" spans="2:19" x14ac:dyDescent="0.35">
      <c r="I14" s="118" t="s">
        <v>241</v>
      </c>
      <c r="J14" s="118" t="s">
        <v>181</v>
      </c>
      <c r="K14" s="118" t="s">
        <v>274</v>
      </c>
      <c r="L14" s="126">
        <v>127.51</v>
      </c>
      <c r="M14" s="126">
        <v>127.51</v>
      </c>
      <c r="N14" s="127">
        <f>1200000/12</f>
        <v>100000</v>
      </c>
    </row>
    <row r="15" spans="2:19" x14ac:dyDescent="0.35">
      <c r="B15" s="372" t="s">
        <v>70</v>
      </c>
      <c r="C15" s="372"/>
      <c r="D15" s="372"/>
      <c r="E15" s="372"/>
      <c r="F15" s="373" t="s">
        <v>103</v>
      </c>
      <c r="G15" s="373"/>
      <c r="I15" s="118" t="s">
        <v>241</v>
      </c>
      <c r="J15" s="118" t="s">
        <v>181</v>
      </c>
      <c r="K15" s="118" t="s">
        <v>293</v>
      </c>
      <c r="L15" s="126">
        <v>127.51</v>
      </c>
      <c r="M15" s="126">
        <v>137.26</v>
      </c>
      <c r="N15" s="127">
        <f>1200000/12</f>
        <v>100000</v>
      </c>
    </row>
    <row r="16" spans="2:19" x14ac:dyDescent="0.35">
      <c r="B16" s="168" t="s">
        <v>64</v>
      </c>
      <c r="C16" s="168" t="s">
        <v>101</v>
      </c>
      <c r="D16" s="168" t="s">
        <v>66</v>
      </c>
      <c r="E16" s="168" t="s">
        <v>67</v>
      </c>
      <c r="F16" s="169" t="s">
        <v>65</v>
      </c>
      <c r="G16" s="74" t="s">
        <v>68</v>
      </c>
      <c r="I16" s="131" t="s">
        <v>116</v>
      </c>
      <c r="J16" s="180"/>
      <c r="K16" s="181"/>
      <c r="L16" s="181"/>
      <c r="M16" s="182"/>
      <c r="N16" s="132">
        <f>M15</f>
        <v>137.26</v>
      </c>
    </row>
    <row r="17" spans="2:14" x14ac:dyDescent="0.35">
      <c r="B17" s="118" t="s">
        <v>275</v>
      </c>
      <c r="C17" s="119">
        <v>45721</v>
      </c>
      <c r="D17" s="121">
        <v>13601</v>
      </c>
      <c r="E17" s="76">
        <v>100000</v>
      </c>
      <c r="F17" s="120">
        <v>117.74</v>
      </c>
      <c r="G17" s="82">
        <f>E17*F17</f>
        <v>11774000</v>
      </c>
      <c r="I17" s="12" t="s">
        <v>299</v>
      </c>
      <c r="J17" s="8"/>
      <c r="K17" s="8"/>
      <c r="L17" s="8"/>
      <c r="M17" s="8"/>
      <c r="N17" s="62"/>
    </row>
    <row r="18" spans="2:14" x14ac:dyDescent="0.35">
      <c r="B18" s="118" t="s">
        <v>275</v>
      </c>
      <c r="C18" s="119">
        <v>45721</v>
      </c>
      <c r="D18" s="121">
        <v>740</v>
      </c>
      <c r="E18" s="76">
        <v>100000</v>
      </c>
      <c r="F18" s="120">
        <v>9.77</v>
      </c>
      <c r="G18" s="82">
        <f>E18*F18</f>
        <v>977000</v>
      </c>
    </row>
    <row r="19" spans="2:14" x14ac:dyDescent="0.35">
      <c r="B19" s="374" t="s">
        <v>69</v>
      </c>
      <c r="C19" s="374"/>
      <c r="D19" s="374"/>
      <c r="E19" s="123">
        <f>SUM(E17:E17)</f>
        <v>100000</v>
      </c>
      <c r="F19" s="124">
        <f>SUM(F17:F18)</f>
        <v>127.50999999999999</v>
      </c>
      <c r="G19" s="125">
        <f>SUM(G17:G18)</f>
        <v>12751000</v>
      </c>
    </row>
    <row r="21" spans="2:14" ht="25.5" customHeight="1" x14ac:dyDescent="0.35">
      <c r="B21" s="372" t="s">
        <v>70</v>
      </c>
      <c r="C21" s="372"/>
      <c r="D21" s="372"/>
      <c r="E21" s="372"/>
      <c r="F21" s="373" t="s">
        <v>135</v>
      </c>
      <c r="G21" s="373"/>
    </row>
    <row r="22" spans="2:14" x14ac:dyDescent="0.35">
      <c r="B22" s="168" t="s">
        <v>64</v>
      </c>
      <c r="C22" s="168" t="s">
        <v>101</v>
      </c>
      <c r="D22" s="168" t="s">
        <v>66</v>
      </c>
      <c r="E22" s="168" t="s">
        <v>67</v>
      </c>
      <c r="F22" s="169" t="s">
        <v>65</v>
      </c>
      <c r="G22" s="74" t="s">
        <v>68</v>
      </c>
    </row>
    <row r="23" spans="2:14" x14ac:dyDescent="0.35">
      <c r="B23" s="118" t="s">
        <v>275</v>
      </c>
      <c r="C23" s="238" t="s">
        <v>278</v>
      </c>
      <c r="D23" s="239" t="s">
        <v>276</v>
      </c>
      <c r="E23" s="76">
        <v>100000</v>
      </c>
      <c r="F23" s="120">
        <v>117.74</v>
      </c>
      <c r="G23" s="82">
        <f>E23*F23</f>
        <v>11774000</v>
      </c>
    </row>
    <row r="24" spans="2:14" x14ac:dyDescent="0.35">
      <c r="B24" s="118" t="s">
        <v>275</v>
      </c>
      <c r="C24" s="238" t="s">
        <v>278</v>
      </c>
      <c r="D24" s="239" t="s">
        <v>277</v>
      </c>
      <c r="E24" s="76">
        <v>100000</v>
      </c>
      <c r="F24" s="120">
        <v>9.77</v>
      </c>
      <c r="G24" s="82">
        <f>E24*F24</f>
        <v>977000</v>
      </c>
    </row>
    <row r="25" spans="2:14" x14ac:dyDescent="0.35">
      <c r="B25" s="374" t="s">
        <v>69</v>
      </c>
      <c r="C25" s="374"/>
      <c r="D25" s="374"/>
      <c r="E25" s="123"/>
      <c r="F25" s="124">
        <f>SUM(F23:F24)</f>
        <v>127.50999999999999</v>
      </c>
      <c r="G25" s="125">
        <f>SUM(G23:G24)</f>
        <v>12751000</v>
      </c>
    </row>
    <row r="27" spans="2:14" x14ac:dyDescent="0.35">
      <c r="B27" s="372" t="s">
        <v>70</v>
      </c>
      <c r="C27" s="372"/>
      <c r="D27" s="372"/>
      <c r="E27" s="372"/>
      <c r="F27" s="373" t="s">
        <v>194</v>
      </c>
      <c r="G27" s="373"/>
      <c r="I27" s="65"/>
    </row>
    <row r="28" spans="2:14" x14ac:dyDescent="0.35">
      <c r="B28" s="168" t="s">
        <v>64</v>
      </c>
      <c r="C28" s="168" t="s">
        <v>101</v>
      </c>
      <c r="D28" s="168" t="s">
        <v>66</v>
      </c>
      <c r="E28" s="168" t="s">
        <v>67</v>
      </c>
      <c r="F28" s="169" t="s">
        <v>65</v>
      </c>
      <c r="G28" s="74" t="s">
        <v>68</v>
      </c>
    </row>
    <row r="29" spans="2:14" x14ac:dyDescent="0.35">
      <c r="B29" s="118" t="s">
        <v>275</v>
      </c>
      <c r="C29" s="119" t="s">
        <v>281</v>
      </c>
      <c r="D29" s="121" t="s">
        <v>279</v>
      </c>
      <c r="E29" s="76">
        <v>100000</v>
      </c>
      <c r="F29" s="120">
        <v>117.74</v>
      </c>
      <c r="G29" s="82">
        <f>E29*F29</f>
        <v>11774000</v>
      </c>
      <c r="K29" s="65"/>
    </row>
    <row r="30" spans="2:14" x14ac:dyDescent="0.35">
      <c r="B30" s="118" t="s">
        <v>275</v>
      </c>
      <c r="C30" s="119" t="s">
        <v>281</v>
      </c>
      <c r="D30" s="121" t="s">
        <v>280</v>
      </c>
      <c r="E30" s="76">
        <v>100000</v>
      </c>
      <c r="F30" s="120">
        <v>9.77</v>
      </c>
      <c r="G30" s="82">
        <f>E30*F30</f>
        <v>977000</v>
      </c>
      <c r="H30" s="69"/>
      <c r="I30" s="11"/>
    </row>
    <row r="31" spans="2:14" x14ac:dyDescent="0.35">
      <c r="B31" s="374" t="s">
        <v>69</v>
      </c>
      <c r="C31" s="374"/>
      <c r="D31" s="374"/>
      <c r="E31" s="123"/>
      <c r="F31" s="124">
        <f>SUM(F29:F30)</f>
        <v>127.50999999999999</v>
      </c>
      <c r="G31" s="125">
        <f>SUM(G29:G30)</f>
        <v>12751000</v>
      </c>
      <c r="I31" s="65"/>
      <c r="J31" s="65"/>
      <c r="K31" s="69"/>
    </row>
    <row r="32" spans="2:14" x14ac:dyDescent="0.35">
      <c r="K32" s="65"/>
    </row>
    <row r="33" spans="2:7" x14ac:dyDescent="0.35">
      <c r="B33" s="372" t="s">
        <v>70</v>
      </c>
      <c r="C33" s="372"/>
      <c r="D33" s="372"/>
      <c r="E33" s="372"/>
      <c r="F33" s="373" t="s">
        <v>195</v>
      </c>
      <c r="G33" s="373"/>
    </row>
    <row r="34" spans="2:7" x14ac:dyDescent="0.35">
      <c r="B34" s="168" t="s">
        <v>64</v>
      </c>
      <c r="C34" s="168" t="s">
        <v>101</v>
      </c>
      <c r="D34" s="168" t="s">
        <v>66</v>
      </c>
      <c r="E34" s="168" t="s">
        <v>67</v>
      </c>
      <c r="F34" s="169" t="s">
        <v>65</v>
      </c>
      <c r="G34" s="74" t="s">
        <v>68</v>
      </c>
    </row>
    <row r="35" spans="2:7" x14ac:dyDescent="0.35">
      <c r="B35" s="237"/>
      <c r="C35" s="238"/>
      <c r="D35" s="239"/>
      <c r="E35" s="76"/>
      <c r="F35" s="105"/>
      <c r="G35" s="105"/>
    </row>
    <row r="36" spans="2:7" x14ac:dyDescent="0.35">
      <c r="B36" s="237"/>
      <c r="C36" s="238"/>
      <c r="D36" s="239"/>
      <c r="E36" s="76"/>
      <c r="F36" s="105"/>
      <c r="G36" s="105"/>
    </row>
    <row r="37" spans="2:7" x14ac:dyDescent="0.35">
      <c r="B37" s="374" t="s">
        <v>69</v>
      </c>
      <c r="C37" s="374"/>
      <c r="D37" s="374"/>
      <c r="E37" s="123">
        <f>E36</f>
        <v>0</v>
      </c>
      <c r="F37" s="124">
        <f>IFERROR((G37/E37),0)</f>
        <v>0</v>
      </c>
      <c r="G37" s="125">
        <f>SUM(G35:G36)</f>
        <v>0</v>
      </c>
    </row>
    <row r="39" spans="2:7" x14ac:dyDescent="0.35">
      <c r="B39" s="372" t="s">
        <v>70</v>
      </c>
      <c r="C39" s="372"/>
      <c r="D39" s="372"/>
      <c r="E39" s="372"/>
      <c r="F39" s="373" t="s">
        <v>196</v>
      </c>
      <c r="G39" s="373"/>
    </row>
    <row r="40" spans="2:7" x14ac:dyDescent="0.35">
      <c r="B40" s="168" t="s">
        <v>64</v>
      </c>
      <c r="C40" s="168" t="s">
        <v>101</v>
      </c>
      <c r="D40" s="168" t="s">
        <v>66</v>
      </c>
      <c r="E40" s="168" t="s">
        <v>67</v>
      </c>
      <c r="F40" s="169" t="s">
        <v>65</v>
      </c>
      <c r="G40" s="74" t="s">
        <v>68</v>
      </c>
    </row>
    <row r="41" spans="2:7" x14ac:dyDescent="0.35">
      <c r="B41" s="237" t="s">
        <v>275</v>
      </c>
      <c r="C41" s="238">
        <v>45845</v>
      </c>
      <c r="D41" s="239">
        <v>13823</v>
      </c>
      <c r="E41" s="76">
        <v>100000</v>
      </c>
      <c r="F41" s="105">
        <v>126.52</v>
      </c>
      <c r="G41" s="105">
        <f>E41*F41</f>
        <v>12652000</v>
      </c>
    </row>
    <row r="42" spans="2:7" x14ac:dyDescent="0.35">
      <c r="B42" s="237" t="s">
        <v>275</v>
      </c>
      <c r="C42" s="238">
        <v>45845</v>
      </c>
      <c r="D42" s="239">
        <v>751</v>
      </c>
      <c r="E42" s="76">
        <v>100000</v>
      </c>
      <c r="F42" s="105">
        <v>10.74</v>
      </c>
      <c r="G42" s="105">
        <f>E42*F42</f>
        <v>1074000</v>
      </c>
    </row>
    <row r="43" spans="2:7" x14ac:dyDescent="0.35">
      <c r="B43" s="374" t="s">
        <v>69</v>
      </c>
      <c r="C43" s="374"/>
      <c r="D43" s="374"/>
      <c r="E43" s="125">
        <f>SUM(E41)</f>
        <v>100000</v>
      </c>
      <c r="F43" s="124">
        <f>IFERROR((G43/E43),0)</f>
        <v>137.26</v>
      </c>
      <c r="G43" s="125">
        <f>SUM(G41:G42)</f>
        <v>13726000</v>
      </c>
    </row>
    <row r="45" spans="2:7" x14ac:dyDescent="0.35">
      <c r="B45" s="372" t="s">
        <v>70</v>
      </c>
      <c r="C45" s="372"/>
      <c r="D45" s="372"/>
      <c r="E45" s="372"/>
      <c r="F45" s="373" t="s">
        <v>197</v>
      </c>
      <c r="G45" s="373"/>
    </row>
    <row r="46" spans="2:7" x14ac:dyDescent="0.35">
      <c r="B46" s="168" t="s">
        <v>64</v>
      </c>
      <c r="C46" s="168" t="s">
        <v>101</v>
      </c>
      <c r="D46" s="168" t="s">
        <v>66</v>
      </c>
      <c r="E46" s="168" t="s">
        <v>67</v>
      </c>
      <c r="F46" s="169" t="s">
        <v>65</v>
      </c>
      <c r="G46" s="74" t="s">
        <v>68</v>
      </c>
    </row>
    <row r="47" spans="2:7" x14ac:dyDescent="0.35">
      <c r="B47" s="237" t="s">
        <v>275</v>
      </c>
      <c r="C47" s="119">
        <v>45875</v>
      </c>
      <c r="D47" s="121">
        <v>13912</v>
      </c>
      <c r="E47" s="76">
        <v>100000</v>
      </c>
      <c r="F47" s="120">
        <v>126.52</v>
      </c>
      <c r="G47" s="105">
        <f>E47*F47</f>
        <v>12652000</v>
      </c>
    </row>
    <row r="48" spans="2:7" x14ac:dyDescent="0.35">
      <c r="B48" s="237" t="s">
        <v>275</v>
      </c>
      <c r="C48" s="119">
        <v>45875</v>
      </c>
      <c r="D48" s="121">
        <v>758</v>
      </c>
      <c r="E48" s="76">
        <v>100000</v>
      </c>
      <c r="F48" s="105">
        <v>10.74</v>
      </c>
      <c r="G48" s="105">
        <f>E48*F48</f>
        <v>1074000</v>
      </c>
    </row>
    <row r="49" spans="2:9" x14ac:dyDescent="0.35">
      <c r="B49" s="374" t="s">
        <v>69</v>
      </c>
      <c r="C49" s="374"/>
      <c r="D49" s="374"/>
      <c r="E49" s="123">
        <f>E47</f>
        <v>100000</v>
      </c>
      <c r="F49" s="124">
        <f>IFERROR((G49/E49),0)</f>
        <v>137.26</v>
      </c>
      <c r="G49" s="125">
        <f>SUM(G47:G48)</f>
        <v>13726000</v>
      </c>
    </row>
    <row r="51" spans="2:9" x14ac:dyDescent="0.35">
      <c r="B51" s="372" t="s">
        <v>70</v>
      </c>
      <c r="C51" s="372"/>
      <c r="D51" s="372"/>
      <c r="E51" s="372"/>
      <c r="F51" s="373" t="s">
        <v>198</v>
      </c>
      <c r="G51" s="373"/>
    </row>
    <row r="52" spans="2:9" x14ac:dyDescent="0.35">
      <c r="B52" s="168" t="s">
        <v>64</v>
      </c>
      <c r="C52" s="168" t="s">
        <v>101</v>
      </c>
      <c r="D52" s="168" t="s">
        <v>66</v>
      </c>
      <c r="E52" s="168" t="s">
        <v>67</v>
      </c>
      <c r="F52" s="169" t="s">
        <v>65</v>
      </c>
      <c r="G52" s="74" t="s">
        <v>68</v>
      </c>
    </row>
    <row r="53" spans="2:9" x14ac:dyDescent="0.35">
      <c r="B53" s="118" t="s">
        <v>275</v>
      </c>
      <c r="C53" s="119">
        <v>45905</v>
      </c>
      <c r="D53" s="239">
        <v>13992</v>
      </c>
      <c r="E53" s="76">
        <v>100000</v>
      </c>
      <c r="F53" s="120">
        <v>126.52</v>
      </c>
      <c r="G53" s="82">
        <f>E53*F53</f>
        <v>12652000</v>
      </c>
    </row>
    <row r="54" spans="2:9" x14ac:dyDescent="0.35">
      <c r="B54" s="118" t="s">
        <v>275</v>
      </c>
      <c r="C54" s="119">
        <v>45905</v>
      </c>
      <c r="D54" s="239">
        <v>765</v>
      </c>
      <c r="E54" s="76">
        <v>100000</v>
      </c>
      <c r="F54" s="105">
        <v>10.74</v>
      </c>
      <c r="G54" s="105">
        <f>E54*F54</f>
        <v>1074000</v>
      </c>
    </row>
    <row r="55" spans="2:9" ht="14.25" customHeight="1" x14ac:dyDescent="0.35">
      <c r="B55" s="374" t="s">
        <v>69</v>
      </c>
      <c r="C55" s="374"/>
      <c r="D55" s="374"/>
      <c r="E55" s="123">
        <f>SUM(E53)</f>
        <v>100000</v>
      </c>
      <c r="F55" s="124">
        <f>G55/E55</f>
        <v>137.26</v>
      </c>
      <c r="G55" s="125">
        <f>SUM(G53:G54)</f>
        <v>13726000</v>
      </c>
    </row>
    <row r="57" spans="2:9" x14ac:dyDescent="0.35">
      <c r="B57" s="372" t="s">
        <v>70</v>
      </c>
      <c r="C57" s="372"/>
      <c r="D57" s="372"/>
      <c r="E57" s="372"/>
      <c r="F57" s="373" t="s">
        <v>199</v>
      </c>
      <c r="G57" s="373"/>
    </row>
    <row r="58" spans="2:9" x14ac:dyDescent="0.35">
      <c r="B58" s="168" t="s">
        <v>64</v>
      </c>
      <c r="C58" s="168" t="s">
        <v>101</v>
      </c>
      <c r="D58" s="168" t="s">
        <v>66</v>
      </c>
      <c r="E58" s="168" t="s">
        <v>67</v>
      </c>
      <c r="F58" s="169" t="s">
        <v>65</v>
      </c>
      <c r="G58" s="74" t="s">
        <v>68</v>
      </c>
    </row>
    <row r="59" spans="2:9" x14ac:dyDescent="0.35">
      <c r="B59" s="118" t="s">
        <v>275</v>
      </c>
      <c r="C59" s="119">
        <v>45937</v>
      </c>
      <c r="D59" s="239">
        <v>14066</v>
      </c>
      <c r="E59" s="76">
        <v>100000</v>
      </c>
      <c r="F59" s="120">
        <v>126.52</v>
      </c>
      <c r="G59" s="82">
        <f>E59*F59</f>
        <v>12652000</v>
      </c>
    </row>
    <row r="60" spans="2:9" x14ac:dyDescent="0.35">
      <c r="B60" s="118" t="s">
        <v>275</v>
      </c>
      <c r="C60" s="119">
        <v>45937</v>
      </c>
      <c r="D60" s="239">
        <v>768</v>
      </c>
      <c r="E60" s="76">
        <v>100000</v>
      </c>
      <c r="F60" s="82">
        <v>10.74</v>
      </c>
      <c r="G60" s="82">
        <f>E60*F60</f>
        <v>1074000</v>
      </c>
    </row>
    <row r="61" spans="2:9" x14ac:dyDescent="0.35">
      <c r="B61" s="374" t="s">
        <v>69</v>
      </c>
      <c r="C61" s="374"/>
      <c r="D61" s="374"/>
      <c r="E61" s="123"/>
      <c r="F61" s="124">
        <f>SUM(F59:F60)</f>
        <v>137.26</v>
      </c>
      <c r="G61" s="125">
        <f>SUM(G59:G60)</f>
        <v>13726000</v>
      </c>
      <c r="I61" s="69"/>
    </row>
    <row r="63" spans="2:9" x14ac:dyDescent="0.35">
      <c r="B63" s="372" t="s">
        <v>70</v>
      </c>
      <c r="C63" s="372"/>
      <c r="D63" s="372"/>
      <c r="E63" s="372"/>
      <c r="F63" s="373" t="s">
        <v>200</v>
      </c>
      <c r="G63" s="373"/>
    </row>
    <row r="64" spans="2:9" x14ac:dyDescent="0.35">
      <c r="B64" s="168" t="s">
        <v>64</v>
      </c>
      <c r="C64" s="168" t="s">
        <v>101</v>
      </c>
      <c r="D64" s="168" t="s">
        <v>66</v>
      </c>
      <c r="E64" s="168" t="s">
        <v>67</v>
      </c>
      <c r="F64" s="169" t="s">
        <v>65</v>
      </c>
      <c r="G64" s="74" t="s">
        <v>68</v>
      </c>
    </row>
    <row r="65" spans="2:7" x14ac:dyDescent="0.35">
      <c r="B65" s="118" t="s">
        <v>275</v>
      </c>
      <c r="C65" s="119">
        <v>45937</v>
      </c>
      <c r="D65" s="239">
        <v>14126</v>
      </c>
      <c r="E65" s="76">
        <v>100000</v>
      </c>
      <c r="F65" s="120">
        <v>126.52</v>
      </c>
      <c r="G65" s="82">
        <f>E65*F65</f>
        <v>12652000</v>
      </c>
    </row>
    <row r="66" spans="2:7" x14ac:dyDescent="0.35">
      <c r="B66" s="118" t="s">
        <v>275</v>
      </c>
      <c r="C66" s="119">
        <v>45937</v>
      </c>
      <c r="D66" s="239">
        <v>772</v>
      </c>
      <c r="E66" s="76">
        <v>100000</v>
      </c>
      <c r="F66" s="82">
        <v>10.74</v>
      </c>
      <c r="G66" s="82">
        <f>E66*F66</f>
        <v>1074000</v>
      </c>
    </row>
    <row r="67" spans="2:7" x14ac:dyDescent="0.35">
      <c r="B67" s="374" t="s">
        <v>69</v>
      </c>
      <c r="C67" s="374"/>
      <c r="D67" s="374"/>
      <c r="E67" s="123">
        <f>E65</f>
        <v>100000</v>
      </c>
      <c r="F67" s="124">
        <f>SUM(F65:F66)</f>
        <v>137.26</v>
      </c>
      <c r="G67" s="125">
        <f>SUM(G65:G66)</f>
        <v>13726000</v>
      </c>
    </row>
    <row r="69" spans="2:7" x14ac:dyDescent="0.35">
      <c r="B69" s="372" t="s">
        <v>70</v>
      </c>
      <c r="C69" s="372"/>
      <c r="D69" s="372"/>
      <c r="E69" s="372"/>
      <c r="F69" s="373" t="s">
        <v>201</v>
      </c>
      <c r="G69" s="373"/>
    </row>
    <row r="70" spans="2:7" x14ac:dyDescent="0.35">
      <c r="B70" s="168" t="s">
        <v>64</v>
      </c>
      <c r="C70" s="168" t="s">
        <v>101</v>
      </c>
      <c r="D70" s="168" t="s">
        <v>66</v>
      </c>
      <c r="E70" s="168" t="s">
        <v>67</v>
      </c>
      <c r="F70" s="169" t="s">
        <v>65</v>
      </c>
      <c r="G70" s="74" t="s">
        <v>68</v>
      </c>
    </row>
    <row r="71" spans="2:7" x14ac:dyDescent="0.35">
      <c r="B71" s="118" t="s">
        <v>275</v>
      </c>
      <c r="C71" s="119">
        <v>45996</v>
      </c>
      <c r="D71" s="121">
        <v>14139</v>
      </c>
      <c r="E71" s="76">
        <v>100000</v>
      </c>
      <c r="F71" s="11">
        <v>126.52</v>
      </c>
      <c r="G71" s="82">
        <f>E71*F71</f>
        <v>12652000</v>
      </c>
    </row>
    <row r="72" spans="2:7" x14ac:dyDescent="0.35">
      <c r="B72" s="118" t="s">
        <v>275</v>
      </c>
      <c r="C72" s="119">
        <v>45996</v>
      </c>
      <c r="D72" s="121">
        <v>14140</v>
      </c>
      <c r="E72" s="76">
        <v>61115.61</v>
      </c>
      <c r="F72" s="82">
        <v>126.52</v>
      </c>
      <c r="G72" s="82">
        <f t="shared" ref="G72:G74" si="0">E72*F72</f>
        <v>7732346.9771999996</v>
      </c>
    </row>
    <row r="73" spans="2:7" x14ac:dyDescent="0.35">
      <c r="B73" s="118" t="s">
        <v>275</v>
      </c>
      <c r="C73" s="119">
        <v>45996</v>
      </c>
      <c r="D73" s="121">
        <v>778</v>
      </c>
      <c r="E73" s="76">
        <v>100000000</v>
      </c>
      <c r="F73" s="76">
        <v>1.074E-2</v>
      </c>
      <c r="G73" s="82">
        <f t="shared" si="0"/>
        <v>1074000</v>
      </c>
    </row>
    <row r="74" spans="2:7" x14ac:dyDescent="0.35">
      <c r="B74" s="118" t="s">
        <v>275</v>
      </c>
      <c r="C74" s="119">
        <v>45996</v>
      </c>
      <c r="D74" s="121">
        <v>782</v>
      </c>
      <c r="E74" s="76">
        <v>61115610</v>
      </c>
      <c r="F74" s="76">
        <v>1.074E-2</v>
      </c>
      <c r="G74" s="82">
        <f t="shared" si="0"/>
        <v>656381.65139999997</v>
      </c>
    </row>
    <row r="75" spans="2:7" x14ac:dyDescent="0.35">
      <c r="B75" s="374" t="s">
        <v>69</v>
      </c>
      <c r="C75" s="374"/>
      <c r="D75" s="374"/>
      <c r="E75" s="321">
        <v>100000</v>
      </c>
      <c r="F75" s="124">
        <v>137.26</v>
      </c>
      <c r="G75" s="125">
        <f>SUM(G71:G74)</f>
        <v>22114728.628600001</v>
      </c>
    </row>
    <row r="77" spans="2:7" x14ac:dyDescent="0.35">
      <c r="B77" s="372" t="s">
        <v>70</v>
      </c>
      <c r="C77" s="372"/>
      <c r="D77" s="372"/>
      <c r="E77" s="372"/>
      <c r="F77" s="373" t="s">
        <v>202</v>
      </c>
      <c r="G77" s="373"/>
    </row>
    <row r="78" spans="2:7" x14ac:dyDescent="0.35">
      <c r="B78" s="168" t="s">
        <v>64</v>
      </c>
      <c r="C78" s="168" t="s">
        <v>101</v>
      </c>
      <c r="D78" s="168" t="s">
        <v>66</v>
      </c>
      <c r="E78" s="168" t="s">
        <v>67</v>
      </c>
      <c r="F78" s="169" t="s">
        <v>65</v>
      </c>
      <c r="G78" s="74" t="s">
        <v>68</v>
      </c>
    </row>
    <row r="79" spans="2:7" x14ac:dyDescent="0.35">
      <c r="B79" s="118" t="s">
        <v>275</v>
      </c>
      <c r="C79" s="119" t="s">
        <v>327</v>
      </c>
      <c r="D79" s="121">
        <v>14150</v>
      </c>
      <c r="E79" s="76">
        <v>100000</v>
      </c>
      <c r="F79" s="11">
        <v>126.52</v>
      </c>
      <c r="G79" s="82">
        <f>E79*F79</f>
        <v>12652000</v>
      </c>
    </row>
    <row r="80" spans="2:7" x14ac:dyDescent="0.35">
      <c r="B80" s="118" t="s">
        <v>275</v>
      </c>
      <c r="C80" s="119" t="s">
        <v>327</v>
      </c>
      <c r="D80" s="121">
        <v>790</v>
      </c>
      <c r="E80" s="76">
        <v>100000000</v>
      </c>
      <c r="F80" s="76">
        <v>1.074E-2</v>
      </c>
      <c r="G80" s="82">
        <f t="shared" ref="G80" si="1">E80*F80</f>
        <v>1074000</v>
      </c>
    </row>
    <row r="81" spans="2:7" x14ac:dyDescent="0.35">
      <c r="B81" s="374" t="s">
        <v>69</v>
      </c>
      <c r="C81" s="374"/>
      <c r="D81" s="374"/>
      <c r="E81" s="123"/>
      <c r="F81" s="124">
        <f>SUM(F79:F80)</f>
        <v>126.53073999999999</v>
      </c>
      <c r="G81" s="263">
        <f>SUM(G79:G80)</f>
        <v>13726000</v>
      </c>
    </row>
    <row r="83" spans="2:7" x14ac:dyDescent="0.35">
      <c r="B83" s="317" t="s">
        <v>311</v>
      </c>
    </row>
  </sheetData>
  <mergeCells count="37">
    <mergeCell ref="B51:E51"/>
    <mergeCell ref="F51:G51"/>
    <mergeCell ref="B55:D55"/>
    <mergeCell ref="B49:D49"/>
    <mergeCell ref="B37:D37"/>
    <mergeCell ref="B39:E39"/>
    <mergeCell ref="F39:G39"/>
    <mergeCell ref="B43:D43"/>
    <mergeCell ref="B45:E45"/>
    <mergeCell ref="F45:G45"/>
    <mergeCell ref="B27:E27"/>
    <mergeCell ref="F27:G27"/>
    <mergeCell ref="B33:E33"/>
    <mergeCell ref="F33:G33"/>
    <mergeCell ref="B31:D31"/>
    <mergeCell ref="B21:E21"/>
    <mergeCell ref="F21:G21"/>
    <mergeCell ref="B25:D25"/>
    <mergeCell ref="B13:D13"/>
    <mergeCell ref="B19:D19"/>
    <mergeCell ref="B1:S3"/>
    <mergeCell ref="B6:E6"/>
    <mergeCell ref="F6:G6"/>
    <mergeCell ref="B15:E15"/>
    <mergeCell ref="F15:G15"/>
    <mergeCell ref="B63:E63"/>
    <mergeCell ref="F63:G63"/>
    <mergeCell ref="B67:D67"/>
    <mergeCell ref="B57:E57"/>
    <mergeCell ref="F57:G57"/>
    <mergeCell ref="B61:D61"/>
    <mergeCell ref="B77:E77"/>
    <mergeCell ref="F77:G77"/>
    <mergeCell ref="B81:D81"/>
    <mergeCell ref="B69:E69"/>
    <mergeCell ref="F69:G69"/>
    <mergeCell ref="B75:D75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23:D2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/>
  <dimension ref="B1:T24"/>
  <sheetViews>
    <sheetView showGridLines="0" zoomScale="55" zoomScaleNormal="55" workbookViewId="0">
      <selection activeCell="C16" sqref="C16:D19"/>
    </sheetView>
  </sheetViews>
  <sheetFormatPr defaultRowHeight="14.5" x14ac:dyDescent="0.35"/>
  <cols>
    <col min="1" max="1" width="3.81640625" customWidth="1"/>
    <col min="2" max="2" width="13.7265625" customWidth="1"/>
    <col min="3" max="3" width="15.453125" bestFit="1" customWidth="1"/>
    <col min="4" max="4" width="10.453125" customWidth="1"/>
    <col min="5" max="5" width="13.453125" customWidth="1"/>
    <col min="6" max="6" width="19.453125" style="30" bestFit="1" customWidth="1"/>
    <col min="7" max="7" width="19.453125" style="28" bestFit="1" customWidth="1"/>
    <col min="8" max="8" width="11.1796875" customWidth="1"/>
    <col min="9" max="9" width="12.1796875" style="28" bestFit="1" customWidth="1"/>
    <col min="10" max="10" width="7.1796875" bestFit="1" customWidth="1"/>
    <col min="11" max="11" width="7.1796875" customWidth="1"/>
    <col min="12" max="12" width="13.54296875" customWidth="1"/>
    <col min="13" max="13" width="14.1796875" customWidth="1"/>
    <col min="14" max="14" width="10.453125" customWidth="1"/>
    <col min="15" max="15" width="12.453125" customWidth="1"/>
    <col min="16" max="16" width="11.26953125" style="30" customWidth="1"/>
    <col min="17" max="17" width="13.36328125" style="28" bestFit="1" customWidth="1"/>
    <col min="18" max="18" width="16.26953125" customWidth="1"/>
    <col min="19" max="19" width="12.1796875" style="28" bestFit="1" customWidth="1"/>
    <col min="20" max="20" width="7.1796875" bestFit="1" customWidth="1"/>
  </cols>
  <sheetData>
    <row r="1" spans="2:20" x14ac:dyDescent="0.35">
      <c r="B1" s="375" t="s">
        <v>312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</row>
    <row r="2" spans="2:20" x14ac:dyDescent="0.35"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</row>
    <row r="3" spans="2:20" x14ac:dyDescent="0.35"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</row>
    <row r="4" spans="2:20" x14ac:dyDescent="0.35">
      <c r="B4" s="8"/>
      <c r="C4" s="8"/>
      <c r="D4" s="8"/>
      <c r="E4" s="8"/>
      <c r="F4" s="33"/>
      <c r="G4" s="25"/>
      <c r="H4" s="8"/>
      <c r="I4" s="25"/>
      <c r="J4" s="8"/>
      <c r="K4" s="8"/>
      <c r="L4" s="8"/>
      <c r="M4" s="8"/>
      <c r="N4" s="8"/>
      <c r="O4" s="8"/>
      <c r="P4" s="33"/>
      <c r="Q4" s="25"/>
      <c r="R4" s="8"/>
      <c r="S4" s="25"/>
      <c r="T4" s="8"/>
    </row>
    <row r="5" spans="2:20" s="1" customFormat="1" x14ac:dyDescent="0.35">
      <c r="B5" s="372" t="s">
        <v>4</v>
      </c>
      <c r="C5" s="372"/>
      <c r="D5" s="372"/>
      <c r="E5" s="372"/>
      <c r="F5" s="372"/>
      <c r="G5" s="372"/>
      <c r="H5" s="372"/>
      <c r="I5" s="372"/>
      <c r="J5" s="372"/>
      <c r="K5" s="6"/>
      <c r="L5" s="372" t="s">
        <v>5</v>
      </c>
      <c r="M5" s="372"/>
      <c r="N5" s="372"/>
      <c r="O5" s="372"/>
      <c r="P5" s="372"/>
      <c r="Q5" s="372"/>
      <c r="R5" s="372"/>
      <c r="S5" s="372"/>
      <c r="T5" s="372"/>
    </row>
    <row r="6" spans="2:20" s="1" customFormat="1" x14ac:dyDescent="0.35">
      <c r="B6" s="372" t="s">
        <v>3</v>
      </c>
      <c r="C6" s="372"/>
      <c r="D6" s="372"/>
      <c r="E6" s="372"/>
      <c r="F6" s="372"/>
      <c r="G6" s="372"/>
      <c r="H6" s="372"/>
      <c r="I6" s="372"/>
      <c r="J6" s="372"/>
      <c r="L6" s="372" t="s">
        <v>3</v>
      </c>
      <c r="M6" s="372"/>
      <c r="N6" s="372"/>
      <c r="O6" s="372"/>
      <c r="P6" s="372"/>
      <c r="Q6" s="372"/>
      <c r="R6" s="372"/>
      <c r="S6" s="372"/>
      <c r="T6" s="372"/>
    </row>
    <row r="7" spans="2:20" s="3" customFormat="1" ht="45" customHeight="1" x14ac:dyDescent="0.35">
      <c r="B7" s="169" t="s">
        <v>125</v>
      </c>
      <c r="C7" s="72" t="s">
        <v>124</v>
      </c>
      <c r="D7" s="72" t="s">
        <v>0</v>
      </c>
      <c r="E7" s="93" t="s">
        <v>1</v>
      </c>
      <c r="F7" s="72" t="s">
        <v>2</v>
      </c>
      <c r="G7" s="93" t="s">
        <v>7</v>
      </c>
      <c r="H7" s="72" t="s">
        <v>6</v>
      </c>
      <c r="I7" s="74" t="s">
        <v>13</v>
      </c>
      <c r="J7" s="72" t="s">
        <v>12</v>
      </c>
      <c r="L7" s="169" t="s">
        <v>125</v>
      </c>
      <c r="M7" s="72" t="s">
        <v>124</v>
      </c>
      <c r="N7" s="72" t="s">
        <v>0</v>
      </c>
      <c r="O7" s="93" t="s">
        <v>1</v>
      </c>
      <c r="P7" s="72" t="s">
        <v>2</v>
      </c>
      <c r="Q7" s="93" t="s">
        <v>7</v>
      </c>
      <c r="R7" s="72" t="s">
        <v>6</v>
      </c>
      <c r="S7" s="74" t="s">
        <v>13</v>
      </c>
      <c r="T7" s="72" t="s">
        <v>12</v>
      </c>
    </row>
    <row r="8" spans="2:20" x14ac:dyDescent="0.35">
      <c r="B8" s="297" t="s">
        <v>244</v>
      </c>
      <c r="C8" s="307">
        <f>IFERROR(VLOOKUP(B8,'NF Óleo Comb'!$J$5:$P$18,2,0),0)</f>
        <v>3.9068099990357728</v>
      </c>
      <c r="D8" s="295">
        <f>'ANP Óleo Comb'!O6</f>
        <v>3.6091195569068684</v>
      </c>
      <c r="E8" s="175">
        <f>MIN(C8,D8)</f>
        <v>3.6091195569068684</v>
      </c>
      <c r="F8" s="134">
        <f>IFERROR(VLOOKUP(B8,SCD!$B$6:$F$41,5,0)*1000,0)</f>
        <v>32590.000000000004</v>
      </c>
      <c r="G8" s="134">
        <f t="shared" ref="G8:G13" si="0">E8*F8</f>
        <v>117621.20635959486</v>
      </c>
      <c r="H8" s="146">
        <f>Parâmetros!$D$6</f>
        <v>1</v>
      </c>
      <c r="I8" s="134">
        <f>ROUND(G8*H8,2)</f>
        <v>117621.21</v>
      </c>
      <c r="J8" s="76"/>
      <c r="L8" s="297" t="s">
        <v>244</v>
      </c>
      <c r="M8" s="307">
        <f>IFERROR(VLOOKUP(L8,'NF Diesel'!$T$6:$Z$19,2,0),0)</f>
        <v>4.3064999999999998</v>
      </c>
      <c r="N8" s="295">
        <f>'ANP Diesel'!K9</f>
        <v>4.3925000000000001</v>
      </c>
      <c r="O8" s="175">
        <f>MIN(M8,N8)</f>
        <v>4.3064999999999998</v>
      </c>
      <c r="P8" s="134">
        <f>IFERROR(VLOOKUP(L8,SCD!$B$6:$F$41,4,0)*1000,0)</f>
        <v>26230</v>
      </c>
      <c r="Q8" s="134">
        <f t="shared" ref="Q8:Q13" si="1">O8*P8</f>
        <v>112959.495</v>
      </c>
      <c r="R8" s="146">
        <f>Parâmetros!$D$6</f>
        <v>1</v>
      </c>
      <c r="S8" s="134">
        <f>ROUND(Q8*R8,2)</f>
        <v>112959.5</v>
      </c>
      <c r="T8" s="76"/>
    </row>
    <row r="9" spans="2:20" x14ac:dyDescent="0.35">
      <c r="B9" s="235">
        <v>45689</v>
      </c>
      <c r="C9" s="307">
        <f>IFERROR(VLOOKUP(B9,'NF Óleo Comb'!$J$5:$P$18,2,0),0)</f>
        <v>3.9068099990357728</v>
      </c>
      <c r="D9" s="295">
        <f>'ANP Óleo Comb'!O8</f>
        <v>4.6057945546843859</v>
      </c>
      <c r="E9" s="175">
        <f t="shared" ref="E9:E19" si="2">MIN(C9,D9)</f>
        <v>3.9068099990357728</v>
      </c>
      <c r="F9" s="134">
        <f>IFERROR(VLOOKUP(B9,SCD!$B$6:$F$41,5,0)*1000,0)</f>
        <v>0</v>
      </c>
      <c r="G9" s="134">
        <f t="shared" si="0"/>
        <v>0</v>
      </c>
      <c r="H9" s="146">
        <f>Parâmetros!$D$6</f>
        <v>1</v>
      </c>
      <c r="I9" s="134">
        <f t="shared" ref="I9:I19" si="3">ROUND(G9*H9,2)</f>
        <v>0</v>
      </c>
      <c r="J9" s="76"/>
      <c r="L9" s="297">
        <v>45689</v>
      </c>
      <c r="M9" s="307">
        <f>IFERROR(VLOOKUP(L9,'NF Diesel'!$T$6:$Z$19,2,0),0)</f>
        <v>4.3064999999999998</v>
      </c>
      <c r="N9" s="295">
        <f>'ANP Diesel'!K10</f>
        <v>4.2549999999999999</v>
      </c>
      <c r="O9" s="76">
        <f>MIN(M9,N9)</f>
        <v>4.2549999999999999</v>
      </c>
      <c r="P9" s="134">
        <f>IFERROR(VLOOKUP(L9,SCD!$B$6:$F$41,4,0)*1000,0)</f>
        <v>0</v>
      </c>
      <c r="Q9" s="134">
        <f t="shared" si="1"/>
        <v>0</v>
      </c>
      <c r="R9" s="146">
        <f>Parâmetros!$D$6</f>
        <v>1</v>
      </c>
      <c r="S9" s="134">
        <f t="shared" ref="S9:S19" si="4">ROUND(Q9*R9,2)</f>
        <v>0</v>
      </c>
      <c r="T9" s="76"/>
    </row>
    <row r="10" spans="2:20" x14ac:dyDescent="0.35">
      <c r="B10" s="235">
        <v>45717</v>
      </c>
      <c r="C10" s="307">
        <f>IFERROR(VLOOKUP(B10,'NF Óleo Comb'!$J$5:$P$18,2,0),0)</f>
        <v>3.9068099990357728</v>
      </c>
      <c r="D10" s="295">
        <f>'ANP Óleo Comb'!O10</f>
        <v>3.1308811362510576</v>
      </c>
      <c r="E10" s="175">
        <f t="shared" si="2"/>
        <v>3.1308811362510576</v>
      </c>
      <c r="F10" s="134">
        <f>IFERROR(VLOOKUP(B10,SCD!$B$6:$F$41,5,0)*1000,0)</f>
        <v>0</v>
      </c>
      <c r="G10" s="134">
        <f t="shared" si="0"/>
        <v>0</v>
      </c>
      <c r="H10" s="146">
        <f>ROUND(Parâmetros!$D$6,6)</f>
        <v>1</v>
      </c>
      <c r="I10" s="134">
        <f t="shared" si="3"/>
        <v>0</v>
      </c>
      <c r="J10" s="76"/>
      <c r="L10" s="297">
        <v>45717</v>
      </c>
      <c r="M10" s="307">
        <f>IFERROR(VLOOKUP(L10,'NF Diesel'!$T$6:$Z$19,2,0),0)</f>
        <v>4.3064999999999998</v>
      </c>
      <c r="N10" s="295">
        <f>'ANP Diesel'!K11</f>
        <v>4.4870000000000001</v>
      </c>
      <c r="O10" s="175">
        <f t="shared" ref="O10:O18" si="5">MIN(M10,N10)</f>
        <v>4.3064999999999998</v>
      </c>
      <c r="P10" s="134">
        <f>IFERROR(VLOOKUP(L10,SCD!$B$6:$F$41,4,0)*1000,0)</f>
        <v>4690</v>
      </c>
      <c r="Q10" s="134">
        <f t="shared" si="1"/>
        <v>20197.485000000001</v>
      </c>
      <c r="R10" s="146">
        <f>ROUND(Parâmetros!$D$6,6)</f>
        <v>1</v>
      </c>
      <c r="S10" s="134">
        <f t="shared" si="4"/>
        <v>20197.490000000002</v>
      </c>
      <c r="T10" s="76"/>
    </row>
    <row r="11" spans="2:20" x14ac:dyDescent="0.35">
      <c r="B11" s="99">
        <v>45748</v>
      </c>
      <c r="C11" s="307">
        <f>IFERROR(VLOOKUP(B11,'NF Óleo Comb'!$J$5:$P$18,2,0),0)</f>
        <v>3.0724426761851586</v>
      </c>
      <c r="D11" s="295">
        <f>'ANP Óleo Comb'!O12</f>
        <v>3.011102038219942</v>
      </c>
      <c r="E11" s="175">
        <f t="shared" si="2"/>
        <v>3.011102038219942</v>
      </c>
      <c r="F11" s="134">
        <f>IFERROR(VLOOKUP(B11,SCD!$B$6:$F$41,5,0)*1000,0)</f>
        <v>636678</v>
      </c>
      <c r="G11" s="134">
        <f t="shared" si="0"/>
        <v>1917102.4234897962</v>
      </c>
      <c r="H11" s="146">
        <f>ROUND(Parâmetros!$D$6,6)</f>
        <v>1</v>
      </c>
      <c r="I11" s="134">
        <f t="shared" si="3"/>
        <v>1917102.42</v>
      </c>
      <c r="J11" s="76"/>
      <c r="L11" s="297">
        <v>45748</v>
      </c>
      <c r="M11" s="307">
        <f>IFERROR(VLOOKUP(L11,'NF Diesel'!$T$6:$Z$19,2,0),0)</f>
        <v>4.1436400000000004</v>
      </c>
      <c r="N11" s="295">
        <f>'ANP Diesel'!K12</f>
        <v>4.4359999999999999</v>
      </c>
      <c r="O11" s="175">
        <f t="shared" si="5"/>
        <v>4.1436400000000004</v>
      </c>
      <c r="P11" s="134">
        <f>IFERROR(VLOOKUP(L11,SCD!$B$6:$F$41,4,0)*1000,0)</f>
        <v>185810</v>
      </c>
      <c r="Q11" s="134">
        <f>O11*P11</f>
        <v>769929.74840000004</v>
      </c>
      <c r="R11" s="146">
        <f>Parâmetros!$D$6</f>
        <v>1</v>
      </c>
      <c r="S11" s="134">
        <f>ROUND(Q11*R11,2)</f>
        <v>769929.75</v>
      </c>
      <c r="T11" s="76"/>
    </row>
    <row r="12" spans="2:20" x14ac:dyDescent="0.35">
      <c r="B12" s="99">
        <v>45778</v>
      </c>
      <c r="C12" s="307">
        <f>IFERROR(VLOOKUP(B12,'NF Óleo Comb'!$J$5:$P$18,2,0),0)</f>
        <v>3.0724426761851586</v>
      </c>
      <c r="D12" s="295">
        <f>'ANP Óleo Comb'!O14</f>
        <v>3.0100241433319446</v>
      </c>
      <c r="E12" s="175">
        <f t="shared" si="2"/>
        <v>3.0100241433319446</v>
      </c>
      <c r="F12" s="134">
        <f>IFERROR(VLOOKUP(B12,SCD!$B$6:$F$41,5,0)*1000,0)</f>
        <v>0</v>
      </c>
      <c r="G12" s="134">
        <f>E12*F12</f>
        <v>0</v>
      </c>
      <c r="H12" s="146">
        <f>ROUND(Parâmetros!$D$6,6)</f>
        <v>1</v>
      </c>
      <c r="I12" s="134">
        <f t="shared" ref="I12:I18" si="6">ROUND(G12*H12,2)</f>
        <v>0</v>
      </c>
      <c r="J12" s="76"/>
      <c r="L12" s="297">
        <v>45778</v>
      </c>
      <c r="M12" s="307">
        <f>IFERROR(VLOOKUP(L12,'NF Diesel'!$T$6:$Z$19,2,0),0)</f>
        <v>4.1436400000000004</v>
      </c>
      <c r="N12" s="295">
        <f>'ANP Diesel'!K13</f>
        <v>4.2229999999999999</v>
      </c>
      <c r="O12" s="175">
        <f>MIN(M12,N12)</f>
        <v>4.1436400000000004</v>
      </c>
      <c r="P12" s="134">
        <f>IFERROR(VLOOKUP(L12,SCD!$B$6:$F$41,4,0)*1000,0)</f>
        <v>3380</v>
      </c>
      <c r="Q12" s="134">
        <f>O12*P12</f>
        <v>14005.503200000001</v>
      </c>
      <c r="R12" s="146">
        <f>Parâmetros!$D$6</f>
        <v>1</v>
      </c>
      <c r="S12" s="134">
        <f t="shared" si="4"/>
        <v>14005.5</v>
      </c>
      <c r="T12" s="76"/>
    </row>
    <row r="13" spans="2:20" x14ac:dyDescent="0.35">
      <c r="B13" s="297">
        <v>45809</v>
      </c>
      <c r="C13" s="307">
        <f>IFERROR(VLOOKUP(B13,'NF Óleo Comb'!$J$5:$P$18,2,0),0)</f>
        <v>3.0724426761851586</v>
      </c>
      <c r="D13" s="295">
        <f>'ANP Óleo Comb'!O16</f>
        <v>3.1130014569133233</v>
      </c>
      <c r="E13" s="175">
        <f>MIN(C13,D13)</f>
        <v>3.0724426761851586</v>
      </c>
      <c r="F13" s="134">
        <f>IFERROR(VLOOKUP(B13,SCD!$B$6:$F$41,5,0)*1000,0)</f>
        <v>161899</v>
      </c>
      <c r="G13" s="134">
        <f t="shared" si="0"/>
        <v>497425.39683170099</v>
      </c>
      <c r="H13" s="146">
        <f>ROUND(Parâmetros!$D$6,6)</f>
        <v>1</v>
      </c>
      <c r="I13" s="134">
        <f t="shared" si="6"/>
        <v>497425.4</v>
      </c>
      <c r="J13" s="76"/>
      <c r="L13" s="297">
        <v>45809</v>
      </c>
      <c r="M13" s="307">
        <f>IFERROR(VLOOKUP(L13,'NF Diesel'!$T$6:$Z$19,2,0),0)</f>
        <v>4.1436400000000004</v>
      </c>
      <c r="N13" s="295">
        <f>'ANP Diesel'!K14</f>
        <v>4.0199999999999996</v>
      </c>
      <c r="O13" s="175">
        <f t="shared" si="5"/>
        <v>4.0199999999999996</v>
      </c>
      <c r="P13" s="134">
        <f>IFERROR(VLOOKUP(L13,SCD!$B$6:$F$41,4,0)*1000,0)</f>
        <v>3260</v>
      </c>
      <c r="Q13" s="134">
        <f t="shared" si="1"/>
        <v>13105.199999999999</v>
      </c>
      <c r="R13" s="146">
        <f>Parâmetros!$D$6</f>
        <v>1</v>
      </c>
      <c r="S13" s="134">
        <f t="shared" si="4"/>
        <v>13105.2</v>
      </c>
      <c r="T13" s="76"/>
    </row>
    <row r="14" spans="2:20" x14ac:dyDescent="0.35">
      <c r="B14" s="297">
        <v>45839</v>
      </c>
      <c r="C14" s="307">
        <f>IFERROR(VLOOKUP(B14,'NF Óleo Comb'!$J$5:$P$18,2,0),0)</f>
        <v>3.0724426761851586</v>
      </c>
      <c r="D14" s="295">
        <f>'ANP Óleo Comb'!O18</f>
        <v>2.9949002926718546</v>
      </c>
      <c r="E14" s="175">
        <f t="shared" si="2"/>
        <v>2.9949002926718546</v>
      </c>
      <c r="F14" s="134">
        <f>IFERROR(VLOOKUP(B14,SCD!$B$6:$F$41,5,0)*1000,0)</f>
        <v>152323</v>
      </c>
      <c r="G14" s="134">
        <f>E14*F14</f>
        <v>456192.19728065492</v>
      </c>
      <c r="H14" s="146">
        <f>ROUND(Parâmetros!$D$6,6)</f>
        <v>1</v>
      </c>
      <c r="I14" s="134">
        <f t="shared" si="6"/>
        <v>456192.2</v>
      </c>
      <c r="J14" s="76"/>
      <c r="L14" s="297">
        <v>45839</v>
      </c>
      <c r="M14" s="308">
        <f>IFERROR(VLOOKUP(L14,'NF Diesel'!$T$6:$Z$19,2,0),0)</f>
        <v>4.5436363636363639</v>
      </c>
      <c r="N14" s="295">
        <f>'ANP Diesel'!K15</f>
        <v>4.0199999999999996</v>
      </c>
      <c r="O14" s="175">
        <f t="shared" si="5"/>
        <v>4.0199999999999996</v>
      </c>
      <c r="P14" s="134">
        <f>IFERROR(VLOOKUP(L14,SCD!$B$6:$F$41,4,0)*1000,0)</f>
        <v>67430</v>
      </c>
      <c r="Q14" s="134">
        <f>O14*P14</f>
        <v>271068.59999999998</v>
      </c>
      <c r="R14" s="146">
        <f>Parâmetros!$D$6</f>
        <v>1</v>
      </c>
      <c r="S14" s="134">
        <f t="shared" si="4"/>
        <v>271068.59999999998</v>
      </c>
      <c r="T14" s="76"/>
    </row>
    <row r="15" spans="2:20" x14ac:dyDescent="0.35">
      <c r="B15" s="297">
        <v>45870</v>
      </c>
      <c r="C15" s="308">
        <f>IFERROR(VLOOKUP(B15,'NF Óleo Comb'!$J$5:$P$18,2,0),0)</f>
        <v>3.0724426761851586</v>
      </c>
      <c r="D15" s="295">
        <f>'ANP Óleo Comb'!O20</f>
        <v>2.9970588830897174</v>
      </c>
      <c r="E15" s="175">
        <f>MIN(C15,D15)</f>
        <v>2.9970588830897174</v>
      </c>
      <c r="F15" s="134">
        <f>IFERROR(VLOOKUP(B15,SCD!$B$6:$F$41,5,0)*1000,0)</f>
        <v>81310</v>
      </c>
      <c r="G15" s="134">
        <f t="shared" ref="G15" si="7">E15*F15</f>
        <v>243690.85778402491</v>
      </c>
      <c r="H15" s="146">
        <f>ROUND(Parâmetros!$D$6,6)</f>
        <v>1</v>
      </c>
      <c r="I15" s="134">
        <f t="shared" si="6"/>
        <v>243690.86</v>
      </c>
      <c r="J15" s="76"/>
      <c r="L15" s="297">
        <v>45870</v>
      </c>
      <c r="M15" s="307">
        <f>IFERROR(VLOOKUP(L15,'NF Diesel'!$T$6:$Z$19,2,0),0)</f>
        <v>4.17</v>
      </c>
      <c r="N15" s="295">
        <f>'ANP Diesel'!K16</f>
        <v>4</v>
      </c>
      <c r="O15" s="175">
        <f>MIN(M15,N15)</f>
        <v>4</v>
      </c>
      <c r="P15" s="134">
        <f>IFERROR(VLOOKUP(L15,SCD!$B$6:$F$41,4,0)*1000,0)</f>
        <v>20690</v>
      </c>
      <c r="Q15" s="134">
        <f t="shared" ref="Q15" si="8">O15*P15</f>
        <v>82760</v>
      </c>
      <c r="R15" s="146">
        <f>Parâmetros!$D$6</f>
        <v>1</v>
      </c>
      <c r="S15" s="134">
        <f t="shared" si="4"/>
        <v>82760</v>
      </c>
      <c r="T15" s="76"/>
    </row>
    <row r="16" spans="2:20" x14ac:dyDescent="0.35">
      <c r="B16" s="297">
        <v>45901</v>
      </c>
      <c r="C16" s="308">
        <f>IFERROR(VLOOKUP(B16,'NF Óleo Comb'!$J$5:$P$18,2,0),0)</f>
        <v>3.0724426761851586</v>
      </c>
      <c r="D16" s="295">
        <f>'ANP Óleo Comb'!O22</f>
        <v>3.2553664866865346</v>
      </c>
      <c r="E16" s="175">
        <f t="shared" ref="E16" si="9">MIN(C16,D16)</f>
        <v>3.0724426761851586</v>
      </c>
      <c r="F16" s="134">
        <f>IFERROR(VLOOKUP(B16,SCD!$B$6:$F$41,5,0)*1000,0)</f>
        <v>139938</v>
      </c>
      <c r="G16" s="134">
        <f>E16*F16</f>
        <v>429951.48321999871</v>
      </c>
      <c r="H16" s="146">
        <f>ROUND(Parâmetros!$D$6,6)</f>
        <v>1</v>
      </c>
      <c r="I16" s="134">
        <f t="shared" si="6"/>
        <v>429951.48</v>
      </c>
      <c r="J16" s="76"/>
      <c r="L16" s="297">
        <v>45901</v>
      </c>
      <c r="M16" s="307">
        <f>IFERROR(VLOOKUP(L16,'NF Diesel'!$T$6:$Z$19,2,0),0)</f>
        <v>4.17</v>
      </c>
      <c r="N16" s="295">
        <f>'ANP Diesel'!K17</f>
        <v>3.9969999999999999</v>
      </c>
      <c r="O16" s="76">
        <f t="shared" si="5"/>
        <v>3.9969999999999999</v>
      </c>
      <c r="P16" s="133">
        <f>IFERROR(VLOOKUP(L16,SCD!$B$6:$F$41,4,0)*1000,0)</f>
        <v>43920</v>
      </c>
      <c r="Q16" s="134">
        <f t="shared" ref="Q16" si="10">O16*P16</f>
        <v>175548.24</v>
      </c>
      <c r="R16" s="146">
        <f>Parâmetros!$D$6</f>
        <v>1</v>
      </c>
      <c r="S16" s="134">
        <f t="shared" si="4"/>
        <v>175548.24</v>
      </c>
      <c r="T16" s="76"/>
    </row>
    <row r="17" spans="2:20" x14ac:dyDescent="0.35">
      <c r="B17" s="297">
        <v>45931</v>
      </c>
      <c r="C17" s="308">
        <f>IFERROR(VLOOKUP(B17,'NF Óleo Comb'!$J$5:$P$18,2,0),0)</f>
        <v>4.3230022438294693</v>
      </c>
      <c r="D17" s="295">
        <f>'ANP Óleo Comb'!O24</f>
        <v>2.9391128399792841</v>
      </c>
      <c r="E17" s="175">
        <f t="shared" si="2"/>
        <v>2.9391128399792841</v>
      </c>
      <c r="F17" s="134">
        <f>IFERROR(VLOOKUP(B17,SCD!$B$6:$F$41,5,0)*1000,0)</f>
        <v>153750</v>
      </c>
      <c r="G17" s="134">
        <f>E17*F17</f>
        <v>451888.5991468149</v>
      </c>
      <c r="H17" s="146">
        <f>ROUND(Parâmetros!$D$6,6)</f>
        <v>1</v>
      </c>
      <c r="I17" s="134">
        <f t="shared" si="6"/>
        <v>451888.6</v>
      </c>
      <c r="J17" s="76"/>
      <c r="L17" s="297">
        <v>45931</v>
      </c>
      <c r="M17" s="307">
        <f>IFERROR(VLOOKUP(L17,'NF Diesel'!$T$6:$Z$19,2,0),0)</f>
        <v>4.17</v>
      </c>
      <c r="N17" s="295">
        <f>'ANP Diesel'!K18</f>
        <v>4.0510000000000002</v>
      </c>
      <c r="O17" s="76">
        <f t="shared" si="5"/>
        <v>4.0510000000000002</v>
      </c>
      <c r="P17" s="133">
        <f>IFERROR(VLOOKUP(L17,SCD!$B$6:$F$41,4,0)*1000,0)</f>
        <v>21540</v>
      </c>
      <c r="Q17" s="134">
        <f t="shared" ref="Q17" si="11">O17*P17</f>
        <v>87258.540000000008</v>
      </c>
      <c r="R17" s="146">
        <f>Parâmetros!$D$6</f>
        <v>1</v>
      </c>
      <c r="S17" s="134">
        <f t="shared" si="4"/>
        <v>87258.54</v>
      </c>
      <c r="T17" s="76"/>
    </row>
    <row r="18" spans="2:20" x14ac:dyDescent="0.35">
      <c r="B18" s="297">
        <v>45962</v>
      </c>
      <c r="C18" s="308">
        <f>IFERROR(VLOOKUP(B18,'NF Óleo Comb'!$J$5:$P$18,2,0),0)</f>
        <v>4.3230022438294693</v>
      </c>
      <c r="D18" s="295">
        <f>'ANP Óleo Comb'!O26</f>
        <v>2.9305669668536072</v>
      </c>
      <c r="E18" s="175">
        <f t="shared" si="2"/>
        <v>2.9305669668536072</v>
      </c>
      <c r="F18" s="335">
        <f>IFERROR(VLOOKUP(B18,SCD!$B$6:$F$41,5,0)*1000,0)</f>
        <v>0</v>
      </c>
      <c r="G18" s="335">
        <f>E18*F18</f>
        <v>0</v>
      </c>
      <c r="H18" s="146">
        <f>ROUND(Parâmetros!$D$6,6)</f>
        <v>1</v>
      </c>
      <c r="I18" s="134">
        <f t="shared" si="6"/>
        <v>0</v>
      </c>
      <c r="J18" s="76"/>
      <c r="L18" s="297">
        <v>45962</v>
      </c>
      <c r="M18" s="307">
        <f>IFERROR(VLOOKUP(L18,'NF Diesel'!$T$6:$Z$19,2,0),0)</f>
        <v>4.17</v>
      </c>
      <c r="N18" s="295">
        <f>'ANP Diesel'!K19</f>
        <v>4.0510000000000002</v>
      </c>
      <c r="O18" s="76">
        <f t="shared" si="5"/>
        <v>4.0510000000000002</v>
      </c>
      <c r="P18" s="133">
        <f>IFERROR(VLOOKUP(L18,SCD!$B$6:$F$41,4,0)*1000,0)</f>
        <v>0</v>
      </c>
      <c r="Q18" s="134">
        <f t="shared" ref="Q18" si="12">O18*P18</f>
        <v>0</v>
      </c>
      <c r="R18" s="146">
        <f>Parâmetros!$D$6</f>
        <v>1</v>
      </c>
      <c r="S18" s="134">
        <f t="shared" si="4"/>
        <v>0</v>
      </c>
      <c r="T18" s="76"/>
    </row>
    <row r="19" spans="2:20" x14ac:dyDescent="0.35">
      <c r="B19" s="230">
        <v>45992</v>
      </c>
      <c r="C19" s="307">
        <f>IFERROR(VLOOKUP(B19,'NF Óleo Comb'!$J$5:$P$18,2,0),0)</f>
        <v>4.3259749428155541</v>
      </c>
      <c r="D19" s="76">
        <f>'ANP Óleo Comb'!O28</f>
        <v>2.8513435438904438</v>
      </c>
      <c r="E19" s="76">
        <f t="shared" si="2"/>
        <v>2.8513435438904438</v>
      </c>
      <c r="F19" s="134">
        <f>IFERROR(VLOOKUP(B19,SCD!$B$6:$F$41,5,0)*1000,0)</f>
        <v>244460</v>
      </c>
      <c r="G19" s="134">
        <f t="shared" ref="G19" si="13">E19*F19</f>
        <v>697039.44273945782</v>
      </c>
      <c r="H19" s="146">
        <f>ROUND(Parâmetros!$D$6,6)</f>
        <v>1</v>
      </c>
      <c r="I19" s="134">
        <f t="shared" si="3"/>
        <v>697039.44</v>
      </c>
      <c r="J19" s="76"/>
      <c r="L19" s="230">
        <v>45992</v>
      </c>
      <c r="M19" s="76">
        <f>IFERROR(VLOOKUP(L19,'NF Diesel'!$T$6:$Z$19,2,0),0)</f>
        <v>4.2300000000000004</v>
      </c>
      <c r="N19" s="76">
        <f>'ANP Diesel'!K20</f>
        <v>4.0809999999999995</v>
      </c>
      <c r="O19" s="76">
        <f>MIN(M19,N19)</f>
        <v>4.0809999999999995</v>
      </c>
      <c r="P19" s="133">
        <f>IFERROR(VLOOKUP(L19,SCD!$B$6:$F$41,4,0)*1000,0)</f>
        <v>28230</v>
      </c>
      <c r="Q19" s="134">
        <f t="shared" ref="Q19" si="14">O19*P19</f>
        <v>115206.62999999999</v>
      </c>
      <c r="R19" s="146">
        <f>Parâmetros!$D$6</f>
        <v>1</v>
      </c>
      <c r="S19" s="134">
        <f t="shared" si="4"/>
        <v>115206.63</v>
      </c>
      <c r="T19" s="76"/>
    </row>
    <row r="20" spans="2:20" x14ac:dyDescent="0.35">
      <c r="D20" s="28"/>
      <c r="E20" s="28"/>
      <c r="F20" s="28"/>
    </row>
    <row r="21" spans="2:20" x14ac:dyDescent="0.35">
      <c r="D21" s="28"/>
      <c r="E21" s="28"/>
      <c r="F21" s="28"/>
      <c r="R21" s="28"/>
    </row>
    <row r="22" spans="2:20" x14ac:dyDescent="0.35">
      <c r="B22" s="317" t="s">
        <v>311</v>
      </c>
      <c r="R22" s="28"/>
    </row>
    <row r="23" spans="2:20" x14ac:dyDescent="0.35">
      <c r="R23" s="28"/>
    </row>
    <row r="24" spans="2:20" x14ac:dyDescent="0.35">
      <c r="R24" s="28"/>
    </row>
  </sheetData>
  <mergeCells count="7">
    <mergeCell ref="B5:J5"/>
    <mergeCell ref="B6:E6"/>
    <mergeCell ref="B1:T3"/>
    <mergeCell ref="F6:J6"/>
    <mergeCell ref="L5:T5"/>
    <mergeCell ref="L6:O6"/>
    <mergeCell ref="P6:T6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R1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"/>
  <dimension ref="B1:P101"/>
  <sheetViews>
    <sheetView showGridLines="0" zoomScale="85" zoomScaleNormal="85" workbookViewId="0">
      <pane ySplit="5" topLeftCell="A6" activePane="bottomLeft" state="frozen"/>
      <selection pane="bottomLeft" activeCell="L19" sqref="L19"/>
    </sheetView>
  </sheetViews>
  <sheetFormatPr defaultRowHeight="14.5" x14ac:dyDescent="0.35"/>
  <cols>
    <col min="1" max="1" width="3.453125" customWidth="1"/>
    <col min="2" max="2" width="15" bestFit="1" customWidth="1"/>
    <col min="3" max="3" width="11.54296875" bestFit="1" customWidth="1"/>
    <col min="4" max="4" width="12.81640625" style="30" bestFit="1" customWidth="1"/>
    <col min="5" max="5" width="14.6328125" style="28" bestFit="1" customWidth="1"/>
    <col min="6" max="6" width="13.453125" style="28" bestFit="1" customWidth="1"/>
    <col min="7" max="7" width="12.26953125" style="28" bestFit="1" customWidth="1"/>
    <col min="8" max="8" width="12.7265625" style="28" bestFit="1" customWidth="1"/>
    <col min="10" max="10" width="15.81640625" bestFit="1" customWidth="1"/>
    <col min="11" max="11" width="15.81640625" style="38" customWidth="1"/>
    <col min="12" max="12" width="14.1796875" bestFit="1" customWidth="1"/>
    <col min="13" max="13" width="11.54296875" bestFit="1" customWidth="1"/>
    <col min="14" max="14" width="14.453125" style="37" bestFit="1" customWidth="1"/>
    <col min="15" max="15" width="14.453125" style="8" bestFit="1" customWidth="1"/>
    <col min="16" max="16" width="17" bestFit="1" customWidth="1"/>
  </cols>
  <sheetData>
    <row r="1" spans="2:16" ht="15" customHeight="1" x14ac:dyDescent="0.35">
      <c r="B1" s="377" t="s">
        <v>312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</row>
    <row r="2" spans="2:16" x14ac:dyDescent="0.35"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</row>
    <row r="3" spans="2:16" x14ac:dyDescent="0.35"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</row>
    <row r="4" spans="2:16" x14ac:dyDescent="0.35">
      <c r="F4" s="93" t="s">
        <v>83</v>
      </c>
      <c r="G4" s="164">
        <v>0</v>
      </c>
      <c r="J4" s="1" t="s">
        <v>141</v>
      </c>
    </row>
    <row r="5" spans="2:16" ht="30" customHeight="1" x14ac:dyDescent="0.35">
      <c r="B5" s="169" t="s">
        <v>81</v>
      </c>
      <c r="C5" s="169" t="s">
        <v>66</v>
      </c>
      <c r="D5" s="169" t="s">
        <v>73</v>
      </c>
      <c r="E5" s="169" t="s">
        <v>68</v>
      </c>
      <c r="F5" s="93" t="s">
        <v>71</v>
      </c>
      <c r="G5" s="93" t="s">
        <v>72</v>
      </c>
      <c r="H5" s="93" t="s">
        <v>62</v>
      </c>
      <c r="J5" s="172" t="s">
        <v>81</v>
      </c>
      <c r="K5" s="141" t="s">
        <v>139</v>
      </c>
      <c r="L5" s="172" t="s">
        <v>143</v>
      </c>
      <c r="M5" s="172" t="s">
        <v>142</v>
      </c>
      <c r="N5" s="172" t="s">
        <v>145</v>
      </c>
      <c r="O5" s="172" t="s">
        <v>144</v>
      </c>
      <c r="P5" s="172" t="s">
        <v>136</v>
      </c>
    </row>
    <row r="6" spans="2:16" x14ac:dyDescent="0.35">
      <c r="B6" s="75">
        <v>45657</v>
      </c>
      <c r="C6" s="76">
        <v>1280520</v>
      </c>
      <c r="D6" s="133">
        <v>41710</v>
      </c>
      <c r="E6" s="134">
        <v>196328.95999999999</v>
      </c>
      <c r="F6" s="134">
        <v>33375.919999999998</v>
      </c>
      <c r="G6" s="134">
        <v>0</v>
      </c>
      <c r="H6" s="134">
        <f>E6-F6-G6</f>
        <v>162953.03999999998</v>
      </c>
      <c r="J6" s="142">
        <v>45627</v>
      </c>
      <c r="K6" s="143">
        <f>H17</f>
        <v>3.9068099990357728</v>
      </c>
      <c r="L6" s="144">
        <v>45266</v>
      </c>
      <c r="M6" s="144">
        <v>45298</v>
      </c>
      <c r="N6" s="143">
        <f>H17</f>
        <v>3.9068099990357728</v>
      </c>
      <c r="O6" s="142" t="str">
        <f t="shared" ref="O6" si="0">IF(L6&gt;M6,"ATRASO",IF(L6="","NÃO HÁ NF","Ok"))</f>
        <v>Ok</v>
      </c>
      <c r="P6" s="240"/>
    </row>
    <row r="7" spans="2:16" x14ac:dyDescent="0.35">
      <c r="B7" s="75">
        <v>45657</v>
      </c>
      <c r="C7" s="76">
        <v>1280541</v>
      </c>
      <c r="D7" s="133">
        <v>41220</v>
      </c>
      <c r="E7" s="134">
        <v>194022.54</v>
      </c>
      <c r="F7" s="134">
        <v>32983.83</v>
      </c>
      <c r="G7" s="134">
        <v>0</v>
      </c>
      <c r="H7" s="134">
        <f t="shared" ref="H7:H15" si="1">E7-F7-G7</f>
        <v>161038.71000000002</v>
      </c>
      <c r="J7" s="145" t="s">
        <v>244</v>
      </c>
      <c r="K7" s="143">
        <f>IF(P7="SIM",N7,IF(M7&gt;L7,N7,IF(M7&gt;L6,N6,K6)))</f>
        <v>3.9068099990357728</v>
      </c>
      <c r="L7" s="144" t="s">
        <v>265</v>
      </c>
      <c r="M7" s="77">
        <v>45695</v>
      </c>
      <c r="N7" s="143">
        <f t="shared" ref="N7:N18" si="2">IFERROR(VLOOKUP(J7,$B$8:$H$74,7,FALSE),0)</f>
        <v>0</v>
      </c>
      <c r="O7" s="142" t="str">
        <f t="shared" ref="O7:O18" si="3">IF(L7&gt;M7,"ATRASO",IF(L7="","NÃO HÁ NF","Ok"))</f>
        <v>ATRASO</v>
      </c>
      <c r="P7" s="240"/>
    </row>
    <row r="8" spans="2:16" x14ac:dyDescent="0.35">
      <c r="B8" s="75">
        <v>45657</v>
      </c>
      <c r="C8" s="76">
        <v>1280810</v>
      </c>
      <c r="D8" s="133">
        <v>42120</v>
      </c>
      <c r="E8" s="134">
        <v>198258.84</v>
      </c>
      <c r="F8" s="134">
        <v>33704</v>
      </c>
      <c r="G8" s="134">
        <v>0</v>
      </c>
      <c r="H8" s="134">
        <f t="shared" si="1"/>
        <v>164554.84</v>
      </c>
      <c r="J8" s="235">
        <v>45689</v>
      </c>
      <c r="K8" s="143">
        <f>IF(P8="SIM",N8,IF(M8&gt;L8,N8,IF(M8&gt;L7,N7,K7)))</f>
        <v>3.9068099990357728</v>
      </c>
      <c r="L8" s="144" t="s">
        <v>265</v>
      </c>
      <c r="M8" s="77">
        <v>45726</v>
      </c>
      <c r="N8" s="143">
        <f t="shared" si="2"/>
        <v>0</v>
      </c>
      <c r="O8" s="142" t="str">
        <f t="shared" si="3"/>
        <v>ATRASO</v>
      </c>
      <c r="P8" s="240"/>
    </row>
    <row r="9" spans="2:16" x14ac:dyDescent="0.35">
      <c r="B9" s="75">
        <v>45657</v>
      </c>
      <c r="C9" s="76">
        <v>1281280</v>
      </c>
      <c r="D9" s="133">
        <v>41160</v>
      </c>
      <c r="E9" s="134">
        <v>193740.12</v>
      </c>
      <c r="F9" s="134">
        <v>32935.82</v>
      </c>
      <c r="G9" s="134">
        <v>0</v>
      </c>
      <c r="H9" s="134">
        <f t="shared" si="1"/>
        <v>160804.29999999999</v>
      </c>
      <c r="J9" s="235">
        <v>45717</v>
      </c>
      <c r="K9" s="143">
        <f>IF(P9="SIM",N9,IF(M9&gt;L9,N9,IF(M9&gt;L8,N8,K8)))</f>
        <v>3.9068099990357728</v>
      </c>
      <c r="L9" s="144" t="s">
        <v>265</v>
      </c>
      <c r="M9" s="77">
        <v>45754</v>
      </c>
      <c r="N9" s="143">
        <f t="shared" si="2"/>
        <v>0</v>
      </c>
      <c r="O9" s="142" t="str">
        <f t="shared" si="3"/>
        <v>ATRASO</v>
      </c>
      <c r="P9" s="240"/>
    </row>
    <row r="10" spans="2:16" x14ac:dyDescent="0.35">
      <c r="B10" s="75">
        <v>45657</v>
      </c>
      <c r="C10" s="76">
        <v>1281082</v>
      </c>
      <c r="D10" s="133">
        <v>41120</v>
      </c>
      <c r="E10" s="134">
        <v>193551.84</v>
      </c>
      <c r="F10" s="134">
        <v>32903.81</v>
      </c>
      <c r="G10" s="134">
        <v>0</v>
      </c>
      <c r="H10" s="134">
        <f t="shared" si="1"/>
        <v>160648.03</v>
      </c>
      <c r="J10" s="235">
        <v>45748</v>
      </c>
      <c r="K10" s="143">
        <f t="shared" ref="K10" si="4">IF(P10="SIM",N10,IF(M10&gt;L10,N10,IF(M10&gt;L9,N9,K9)))</f>
        <v>3.0724426761851586</v>
      </c>
      <c r="L10" s="144">
        <v>45754</v>
      </c>
      <c r="M10" s="77">
        <v>45785</v>
      </c>
      <c r="N10" s="143">
        <f t="shared" si="2"/>
        <v>3.0724426761851586</v>
      </c>
      <c r="O10" s="142" t="str">
        <f t="shared" si="3"/>
        <v>Ok</v>
      </c>
      <c r="P10" s="240"/>
    </row>
    <row r="11" spans="2:16" x14ac:dyDescent="0.35">
      <c r="B11" s="75">
        <v>45657</v>
      </c>
      <c r="C11" s="76">
        <v>1281403</v>
      </c>
      <c r="D11" s="133">
        <v>41670</v>
      </c>
      <c r="E11" s="134">
        <v>196140.69</v>
      </c>
      <c r="F11" s="134">
        <v>33343.919999999998</v>
      </c>
      <c r="G11" s="134">
        <v>0</v>
      </c>
      <c r="H11" s="134">
        <f t="shared" si="1"/>
        <v>162796.77000000002</v>
      </c>
      <c r="J11" s="235">
        <v>45778</v>
      </c>
      <c r="K11" s="143">
        <f>IF(P11="SIM",N11,IF(M11&gt;=L11,N11,IF(M11&gt;=L10,N10,K10)))</f>
        <v>3.0724426761851586</v>
      </c>
      <c r="L11" s="144" t="s">
        <v>265</v>
      </c>
      <c r="M11" s="77">
        <v>45814</v>
      </c>
      <c r="N11" s="143">
        <f t="shared" si="2"/>
        <v>0</v>
      </c>
      <c r="O11" s="142" t="str">
        <f t="shared" si="3"/>
        <v>ATRASO</v>
      </c>
      <c r="P11" s="240"/>
    </row>
    <row r="12" spans="2:16" x14ac:dyDescent="0.35">
      <c r="B12" s="75">
        <v>45657</v>
      </c>
      <c r="C12" s="76">
        <v>1281439</v>
      </c>
      <c r="D12" s="133">
        <v>41070</v>
      </c>
      <c r="E12" s="134">
        <v>193316.49</v>
      </c>
      <c r="F12" s="134">
        <v>32863.800000000003</v>
      </c>
      <c r="G12" s="134">
        <v>0</v>
      </c>
      <c r="H12" s="134">
        <f t="shared" si="1"/>
        <v>160452.69</v>
      </c>
      <c r="J12" s="235">
        <v>45809</v>
      </c>
      <c r="K12" s="143">
        <f>IF(P12="SIM",N12,IF(M12&gt;=L12,N12,IF(M12&gt;=L11,N11,K11)))</f>
        <v>3.0724426761851586</v>
      </c>
      <c r="L12" s="144" t="s">
        <v>265</v>
      </c>
      <c r="M12" s="77">
        <v>45845</v>
      </c>
      <c r="N12" s="143">
        <f t="shared" si="2"/>
        <v>0</v>
      </c>
      <c r="O12" s="142" t="str">
        <f t="shared" si="3"/>
        <v>ATRASO</v>
      </c>
      <c r="P12" s="240"/>
    </row>
    <row r="13" spans="2:16" x14ac:dyDescent="0.35">
      <c r="B13" s="75">
        <v>45657</v>
      </c>
      <c r="C13" s="76">
        <v>1280479</v>
      </c>
      <c r="D13" s="133">
        <v>41680</v>
      </c>
      <c r="E13" s="134">
        <v>196187.76</v>
      </c>
      <c r="F13" s="134">
        <v>33351.919999999998</v>
      </c>
      <c r="G13" s="134">
        <v>0</v>
      </c>
      <c r="H13" s="134">
        <f t="shared" si="1"/>
        <v>162835.84000000003</v>
      </c>
      <c r="J13" s="235">
        <v>45839</v>
      </c>
      <c r="K13" s="143">
        <f t="shared" ref="K13:K18" si="5">IF(P13="SIM",N13,IF(M13&gt;=L13,N13,IF(M13&gt;=L12,N12,K12)))</f>
        <v>3.0724426761851586</v>
      </c>
      <c r="L13" s="144" t="s">
        <v>265</v>
      </c>
      <c r="M13" s="77">
        <v>45876</v>
      </c>
      <c r="N13" s="143">
        <f t="shared" si="2"/>
        <v>0</v>
      </c>
      <c r="O13" s="142" t="str">
        <f t="shared" si="3"/>
        <v>ATRASO</v>
      </c>
      <c r="P13" s="240"/>
    </row>
    <row r="14" spans="2:16" x14ac:dyDescent="0.35">
      <c r="B14" s="75">
        <v>45657</v>
      </c>
      <c r="C14" s="76">
        <v>1281077</v>
      </c>
      <c r="D14" s="133">
        <v>41790</v>
      </c>
      <c r="E14" s="134">
        <v>196705.53</v>
      </c>
      <c r="F14" s="134">
        <v>33439.94</v>
      </c>
      <c r="G14" s="134">
        <v>0</v>
      </c>
      <c r="H14" s="134">
        <f t="shared" si="1"/>
        <v>163265.59</v>
      </c>
      <c r="J14" s="235">
        <v>45870</v>
      </c>
      <c r="K14" s="143">
        <f t="shared" si="5"/>
        <v>3.0724426761851586</v>
      </c>
      <c r="L14" s="144" t="s">
        <v>265</v>
      </c>
      <c r="M14" s="77">
        <v>45905</v>
      </c>
      <c r="N14" s="143">
        <f t="shared" si="2"/>
        <v>0</v>
      </c>
      <c r="O14" s="142" t="str">
        <f t="shared" si="3"/>
        <v>ATRASO</v>
      </c>
      <c r="P14" s="240"/>
    </row>
    <row r="15" spans="2:16" x14ac:dyDescent="0.35">
      <c r="B15" s="75">
        <v>45657</v>
      </c>
      <c r="C15" s="76">
        <v>1280827</v>
      </c>
      <c r="D15" s="133">
        <v>41300</v>
      </c>
      <c r="E15" s="134">
        <v>194399.1</v>
      </c>
      <c r="F15" s="134">
        <v>33047.85</v>
      </c>
      <c r="G15" s="134">
        <v>0</v>
      </c>
      <c r="H15" s="134">
        <f t="shared" si="1"/>
        <v>161351.25</v>
      </c>
      <c r="J15" s="235">
        <v>45901</v>
      </c>
      <c r="K15" s="143">
        <f t="shared" ref="K15" si="6">IF(P15="SIM",N15,IF(M15&gt;=L15,N15,IF(M15&gt;=L14,N14,K14)))</f>
        <v>3.0724426761851586</v>
      </c>
      <c r="L15" s="144">
        <v>45968</v>
      </c>
      <c r="M15" s="77">
        <v>45938</v>
      </c>
      <c r="N15" s="143">
        <f t="shared" si="2"/>
        <v>0</v>
      </c>
      <c r="O15" s="142" t="str">
        <f t="shared" si="3"/>
        <v>ATRASO</v>
      </c>
      <c r="P15" s="240"/>
    </row>
    <row r="16" spans="2:16" x14ac:dyDescent="0.35">
      <c r="B16" s="75">
        <v>45657</v>
      </c>
      <c r="C16" s="122" t="s">
        <v>74</v>
      </c>
      <c r="D16" s="135">
        <f>SUM(D6:D15)</f>
        <v>414840</v>
      </c>
      <c r="E16" s="135">
        <f>SUM(E6:E15)</f>
        <v>1952651.87</v>
      </c>
      <c r="F16" s="136">
        <f>SUM(F6:F15)</f>
        <v>331950.80999999994</v>
      </c>
      <c r="G16" s="136">
        <f>SUM(G6:G15)</f>
        <v>0</v>
      </c>
      <c r="H16" s="137">
        <f>SUM(H6:H15)</f>
        <v>1620701.06</v>
      </c>
      <c r="J16" s="235">
        <v>45931</v>
      </c>
      <c r="K16" s="143">
        <f>IF(P16="SIM",N16,IF(M16&gt;=L16,N16,IF(M16&gt;=L15,N15,K15)))</f>
        <v>4.3230022438294693</v>
      </c>
      <c r="L16" s="144">
        <v>45959</v>
      </c>
      <c r="M16" s="77">
        <v>45968</v>
      </c>
      <c r="N16" s="143">
        <f t="shared" si="2"/>
        <v>4.3230022438294693</v>
      </c>
      <c r="O16" s="142" t="str">
        <f t="shared" si="3"/>
        <v>Ok</v>
      </c>
      <c r="P16" s="240"/>
    </row>
    <row r="17" spans="2:16" x14ac:dyDescent="0.35">
      <c r="B17" s="236">
        <v>45627</v>
      </c>
      <c r="C17" s="236" t="s">
        <v>82</v>
      </c>
      <c r="D17" s="236"/>
      <c r="E17" s="236"/>
      <c r="F17" s="236"/>
      <c r="G17" s="236"/>
      <c r="H17" s="140">
        <f>H16/D16</f>
        <v>3.9068099990357728</v>
      </c>
      <c r="J17" s="235">
        <v>45962</v>
      </c>
      <c r="K17" s="143">
        <f>IF(P17="SIM",N17,IF(M17&gt;=L17,N17,IF(M17&gt;=L16,N16,K16)))</f>
        <v>4.3230022438294693</v>
      </c>
      <c r="L17" s="144" t="s">
        <v>265</v>
      </c>
      <c r="M17" s="77">
        <v>45996</v>
      </c>
      <c r="N17" s="143">
        <f t="shared" si="2"/>
        <v>0</v>
      </c>
      <c r="O17" s="142" t="str">
        <f t="shared" si="3"/>
        <v>ATRASO</v>
      </c>
      <c r="P17" s="240"/>
    </row>
    <row r="18" spans="2:16" x14ac:dyDescent="0.35">
      <c r="B18" s="75">
        <v>45688</v>
      </c>
      <c r="C18" s="76"/>
      <c r="D18" s="133"/>
      <c r="E18" s="134"/>
      <c r="F18" s="134"/>
      <c r="G18" s="134">
        <f>(E18-F18)*0</f>
        <v>0</v>
      </c>
      <c r="H18" s="134">
        <f t="shared" ref="H18" si="7">E18-F18-G18</f>
        <v>0</v>
      </c>
      <c r="J18" s="235">
        <v>45992</v>
      </c>
      <c r="K18" s="143">
        <f t="shared" si="5"/>
        <v>4.3259749428155541</v>
      </c>
      <c r="L18" s="144">
        <v>46030</v>
      </c>
      <c r="M18" s="77">
        <v>46030</v>
      </c>
      <c r="N18" s="143">
        <f t="shared" si="2"/>
        <v>4.3259749428155541</v>
      </c>
      <c r="O18" s="142" t="str">
        <f t="shared" si="3"/>
        <v>Ok</v>
      </c>
      <c r="P18" s="240"/>
    </row>
    <row r="19" spans="2:16" x14ac:dyDescent="0.35">
      <c r="B19" s="188">
        <v>45688</v>
      </c>
      <c r="C19" s="122" t="s">
        <v>74</v>
      </c>
      <c r="D19" s="135">
        <f>SUM(D18:D18)</f>
        <v>0</v>
      </c>
      <c r="E19" s="136">
        <f>SUM(E18:E18)</f>
        <v>0</v>
      </c>
      <c r="F19" s="136">
        <f>SUM(F18:F18)</f>
        <v>0</v>
      </c>
      <c r="G19" s="136">
        <f>SUM(G18:G18)</f>
        <v>0</v>
      </c>
      <c r="H19" s="135">
        <f>SUM(H18:H18)</f>
        <v>0</v>
      </c>
    </row>
    <row r="20" spans="2:16" x14ac:dyDescent="0.35">
      <c r="B20" s="236">
        <v>45658</v>
      </c>
      <c r="C20" s="236" t="s">
        <v>82</v>
      </c>
      <c r="D20" s="236"/>
      <c r="E20" s="236"/>
      <c r="F20" s="236"/>
      <c r="G20" s="236"/>
      <c r="H20" s="140">
        <f>IFERROR(H19/D19,0)</f>
        <v>0</v>
      </c>
    </row>
    <row r="21" spans="2:16" x14ac:dyDescent="0.35">
      <c r="B21" s="75">
        <v>45716</v>
      </c>
      <c r="C21" s="76"/>
      <c r="D21" s="133"/>
      <c r="E21" s="134"/>
      <c r="F21" s="134"/>
      <c r="G21" s="134">
        <f>(E21-F21)*0.0925</f>
        <v>0</v>
      </c>
      <c r="H21" s="134">
        <f t="shared" ref="H21" si="8">E21-F21-G21</f>
        <v>0</v>
      </c>
    </row>
    <row r="22" spans="2:16" x14ac:dyDescent="0.35">
      <c r="B22" s="75">
        <v>45716</v>
      </c>
      <c r="C22" s="122" t="s">
        <v>74</v>
      </c>
      <c r="D22" s="135">
        <f>SUM(D21:D21)</f>
        <v>0</v>
      </c>
      <c r="E22" s="136">
        <f>SUM(E21:E21)</f>
        <v>0</v>
      </c>
      <c r="F22" s="134">
        <f>SUM(F21:F21)</f>
        <v>0</v>
      </c>
      <c r="G22" s="134">
        <f>SUM(G21:G21)</f>
        <v>0</v>
      </c>
      <c r="H22" s="137">
        <f>SUM(H21:H21)</f>
        <v>0</v>
      </c>
    </row>
    <row r="23" spans="2:16" x14ac:dyDescent="0.35">
      <c r="B23" s="138">
        <v>45689</v>
      </c>
      <c r="C23" s="281" t="s">
        <v>82</v>
      </c>
      <c r="D23" s="139"/>
      <c r="E23" s="139"/>
      <c r="F23" s="139"/>
      <c r="G23" s="139"/>
      <c r="H23" s="140">
        <f t="shared" ref="H23" si="9">IFERROR(H22/D22,0)</f>
        <v>0</v>
      </c>
    </row>
    <row r="24" spans="2:16" x14ac:dyDescent="0.35">
      <c r="B24" s="279">
        <v>45747</v>
      </c>
      <c r="C24" s="283"/>
      <c r="D24" s="280"/>
      <c r="E24" s="134"/>
      <c r="F24" s="134"/>
      <c r="G24" s="134"/>
      <c r="H24" s="134"/>
    </row>
    <row r="25" spans="2:16" x14ac:dyDescent="0.35">
      <c r="B25" s="279">
        <v>45747</v>
      </c>
      <c r="C25" s="283"/>
      <c r="D25" s="280"/>
      <c r="E25" s="134"/>
      <c r="F25" s="134"/>
      <c r="G25" s="134"/>
      <c r="H25" s="134"/>
    </row>
    <row r="26" spans="2:16" x14ac:dyDescent="0.35">
      <c r="B26" s="75">
        <v>45718</v>
      </c>
      <c r="C26" s="282" t="s">
        <v>74</v>
      </c>
      <c r="D26" s="136">
        <f>SUM(D24:D25)</f>
        <v>0</v>
      </c>
      <c r="E26" s="136">
        <f>SUM(E24:E25)</f>
        <v>0</v>
      </c>
      <c r="F26" s="136">
        <f>SUM(F24:F25)</f>
        <v>0</v>
      </c>
      <c r="G26" s="136">
        <f>SUM(G24:G25)</f>
        <v>0</v>
      </c>
      <c r="H26" s="137">
        <f>SUM(H24:H25)</f>
        <v>0</v>
      </c>
    </row>
    <row r="27" spans="2:16" x14ac:dyDescent="0.35">
      <c r="B27" s="236">
        <v>45717</v>
      </c>
      <c r="C27" s="139" t="s">
        <v>82</v>
      </c>
      <c r="D27" s="139"/>
      <c r="E27" s="139"/>
      <c r="F27" s="139"/>
      <c r="G27" s="139"/>
      <c r="H27" s="140">
        <f t="shared" ref="H27" si="10">IFERROR(H26/D26,0)</f>
        <v>0</v>
      </c>
    </row>
    <row r="28" spans="2:16" x14ac:dyDescent="0.35">
      <c r="B28" s="75">
        <v>45777</v>
      </c>
      <c r="C28" s="284" t="s">
        <v>282</v>
      </c>
      <c r="D28" s="133">
        <v>38550</v>
      </c>
      <c r="E28" s="134">
        <v>157245.45000000001</v>
      </c>
      <c r="F28" s="134">
        <v>26731.73</v>
      </c>
      <c r="G28" s="134">
        <v>12072.52</v>
      </c>
      <c r="H28" s="134">
        <f>E28-F28-G28</f>
        <v>118441.20000000001</v>
      </c>
      <c r="I28" s="38"/>
    </row>
    <row r="29" spans="2:16" x14ac:dyDescent="0.35">
      <c r="B29" s="75">
        <v>45777</v>
      </c>
      <c r="C29" s="284" t="s">
        <v>283</v>
      </c>
      <c r="D29" s="133">
        <v>38590</v>
      </c>
      <c r="E29" s="134">
        <v>157408.60999999999</v>
      </c>
      <c r="F29" s="134">
        <v>26759.46</v>
      </c>
      <c r="G29" s="134">
        <v>12085.05</v>
      </c>
      <c r="H29" s="134">
        <f t="shared" ref="H29:H35" si="11">E29-F29-G29</f>
        <v>118564.09999999999</v>
      </c>
    </row>
    <row r="30" spans="2:16" x14ac:dyDescent="0.35">
      <c r="B30" s="75">
        <v>45777</v>
      </c>
      <c r="C30" s="284" t="s">
        <v>284</v>
      </c>
      <c r="D30" s="133">
        <v>36690</v>
      </c>
      <c r="E30" s="134">
        <v>149658.51</v>
      </c>
      <c r="F30" s="134">
        <v>25441.95</v>
      </c>
      <c r="G30" s="134">
        <v>11490.03</v>
      </c>
      <c r="H30" s="134">
        <f t="shared" si="11"/>
        <v>112726.53000000001</v>
      </c>
    </row>
    <row r="31" spans="2:16" x14ac:dyDescent="0.35">
      <c r="B31" s="75">
        <v>45777</v>
      </c>
      <c r="C31" s="284" t="s">
        <v>285</v>
      </c>
      <c r="D31" s="133">
        <v>38370</v>
      </c>
      <c r="E31" s="134">
        <v>156522.23000000001</v>
      </c>
      <c r="F31" s="134">
        <v>26606.91</v>
      </c>
      <c r="G31" s="134">
        <v>12016.15</v>
      </c>
      <c r="H31" s="134">
        <f t="shared" si="11"/>
        <v>117899.17000000001</v>
      </c>
    </row>
    <row r="32" spans="2:16" x14ac:dyDescent="0.35">
      <c r="B32" s="75">
        <v>45777</v>
      </c>
      <c r="C32" s="284" t="s">
        <v>286</v>
      </c>
      <c r="D32" s="133">
        <v>37970</v>
      </c>
      <c r="E32" s="134">
        <v>154879.63</v>
      </c>
      <c r="F32" s="134">
        <v>26329.54</v>
      </c>
      <c r="G32" s="134">
        <v>11890.89</v>
      </c>
      <c r="H32" s="134">
        <f t="shared" si="11"/>
        <v>116659.2</v>
      </c>
    </row>
    <row r="33" spans="2:8" x14ac:dyDescent="0.35">
      <c r="B33" s="75">
        <v>45777</v>
      </c>
      <c r="C33" s="284" t="s">
        <v>287</v>
      </c>
      <c r="D33" s="133">
        <v>36870</v>
      </c>
      <c r="E33" s="134">
        <v>150392.73000000001</v>
      </c>
      <c r="F33" s="134">
        <v>25566.76</v>
      </c>
      <c r="G33" s="134">
        <v>11546.4</v>
      </c>
      <c r="H33" s="134">
        <f t="shared" si="11"/>
        <v>113279.57000000002</v>
      </c>
    </row>
    <row r="34" spans="2:8" x14ac:dyDescent="0.35">
      <c r="B34" s="75">
        <v>45777</v>
      </c>
      <c r="C34" s="284" t="s">
        <v>288</v>
      </c>
      <c r="D34" s="133">
        <v>37795.839999999997</v>
      </c>
      <c r="E34" s="134">
        <v>154169.88</v>
      </c>
      <c r="F34" s="134">
        <v>26208.880000000001</v>
      </c>
      <c r="G34" s="134">
        <v>11836.4</v>
      </c>
      <c r="H34" s="134">
        <f t="shared" si="11"/>
        <v>116124.6</v>
      </c>
    </row>
    <row r="35" spans="2:8" x14ac:dyDescent="0.35">
      <c r="B35" s="75">
        <v>45777</v>
      </c>
      <c r="C35" s="284" t="s">
        <v>289</v>
      </c>
      <c r="D35" s="133">
        <v>37890</v>
      </c>
      <c r="E35" s="134">
        <v>154553.31</v>
      </c>
      <c r="F35" s="134">
        <v>26274.06</v>
      </c>
      <c r="G35" s="134">
        <v>11865.83</v>
      </c>
      <c r="H35" s="134">
        <f t="shared" si="11"/>
        <v>116413.42</v>
      </c>
    </row>
    <row r="36" spans="2:8" x14ac:dyDescent="0.35">
      <c r="B36" s="75">
        <v>45749</v>
      </c>
      <c r="C36" s="122" t="s">
        <v>74</v>
      </c>
      <c r="D36" s="135">
        <f>SUM(D28:D35)</f>
        <v>302725.83999999997</v>
      </c>
      <c r="E36" s="136">
        <f t="shared" ref="E36:F36" si="12">SUM(E28:E35)</f>
        <v>1234830.3500000001</v>
      </c>
      <c r="F36" s="136">
        <f t="shared" si="12"/>
        <v>209919.29</v>
      </c>
      <c r="G36" s="136">
        <f>SUM(G28:G35)</f>
        <v>94803.26999999999</v>
      </c>
      <c r="H36" s="137">
        <f>SUM(H28:H35)</f>
        <v>930107.79</v>
      </c>
    </row>
    <row r="37" spans="2:8" x14ac:dyDescent="0.35">
      <c r="B37" s="138">
        <v>45748</v>
      </c>
      <c r="C37" s="139" t="s">
        <v>82</v>
      </c>
      <c r="D37" s="139"/>
      <c r="E37" s="139"/>
      <c r="F37" s="139"/>
      <c r="G37" s="139"/>
      <c r="H37" s="140">
        <f t="shared" ref="H37" si="13">IFERROR(H36/D36,0)</f>
        <v>3.0724426761851586</v>
      </c>
    </row>
    <row r="38" spans="2:8" x14ac:dyDescent="0.35">
      <c r="B38" s="75">
        <v>45808</v>
      </c>
      <c r="C38" s="76"/>
      <c r="D38" s="133"/>
      <c r="E38" s="134"/>
      <c r="F38" s="134"/>
      <c r="G38" s="134"/>
      <c r="H38" s="134">
        <f t="shared" ref="H38:H39" si="14">E38-F38-G38</f>
        <v>0</v>
      </c>
    </row>
    <row r="39" spans="2:8" x14ac:dyDescent="0.35">
      <c r="B39" s="75">
        <v>45808</v>
      </c>
      <c r="C39" s="76"/>
      <c r="D39" s="133"/>
      <c r="E39" s="134"/>
      <c r="F39" s="134"/>
      <c r="G39" s="134"/>
      <c r="H39" s="134">
        <f t="shared" si="14"/>
        <v>0</v>
      </c>
    </row>
    <row r="40" spans="2:8" x14ac:dyDescent="0.35">
      <c r="B40" s="75">
        <v>45779</v>
      </c>
      <c r="C40" s="122" t="s">
        <v>74</v>
      </c>
      <c r="D40" s="135">
        <f>SUM(D38:D39)</f>
        <v>0</v>
      </c>
      <c r="E40" s="135">
        <f>SUM(E38:E39)</f>
        <v>0</v>
      </c>
      <c r="F40" s="135">
        <f>SUM(F38:F39)</f>
        <v>0</v>
      </c>
      <c r="G40" s="135">
        <f>SUM(G38:G39)</f>
        <v>0</v>
      </c>
      <c r="H40" s="135">
        <f>SUM(H38:H39)</f>
        <v>0</v>
      </c>
    </row>
    <row r="41" spans="2:8" x14ac:dyDescent="0.35">
      <c r="B41" s="138">
        <v>45413</v>
      </c>
      <c r="C41" s="139" t="s">
        <v>82</v>
      </c>
      <c r="D41" s="139"/>
      <c r="E41" s="139"/>
      <c r="F41" s="139"/>
      <c r="G41" s="139"/>
      <c r="H41" s="140">
        <f>IFERROR(H40/D40,0)</f>
        <v>0</v>
      </c>
    </row>
    <row r="42" spans="2:8" x14ac:dyDescent="0.35">
      <c r="B42" s="241" t="s">
        <v>245</v>
      </c>
      <c r="C42" s="76"/>
      <c r="D42" s="133"/>
      <c r="E42" s="134"/>
      <c r="F42" s="134"/>
      <c r="G42" s="134"/>
      <c r="H42" s="134">
        <f>E42-F42-G42</f>
        <v>0</v>
      </c>
    </row>
    <row r="43" spans="2:8" x14ac:dyDescent="0.35">
      <c r="B43" s="241" t="s">
        <v>245</v>
      </c>
      <c r="C43" s="76"/>
      <c r="D43" s="133"/>
      <c r="E43" s="134"/>
      <c r="F43" s="134"/>
      <c r="G43" s="134"/>
      <c r="H43" s="134">
        <f t="shared" ref="H43:H44" si="15">E43-F43-G43</f>
        <v>0</v>
      </c>
    </row>
    <row r="44" spans="2:8" x14ac:dyDescent="0.35">
      <c r="B44" s="241" t="s">
        <v>245</v>
      </c>
      <c r="C44" s="76"/>
      <c r="D44" s="133"/>
      <c r="E44" s="134"/>
      <c r="F44" s="134"/>
      <c r="G44" s="134"/>
      <c r="H44" s="134">
        <f t="shared" si="15"/>
        <v>0</v>
      </c>
    </row>
    <row r="45" spans="2:8" ht="13.5" customHeight="1" x14ac:dyDescent="0.35">
      <c r="B45" s="241" t="s">
        <v>245</v>
      </c>
      <c r="C45" s="122" t="s">
        <v>74</v>
      </c>
      <c r="D45" s="137">
        <f>SUM(D42:D44)</f>
        <v>0</v>
      </c>
      <c r="E45" s="137">
        <f>SUM(E42:E44)</f>
        <v>0</v>
      </c>
      <c r="F45" s="137">
        <f>SUM(F42:F44)</f>
        <v>0</v>
      </c>
      <c r="G45" s="137">
        <f>SUM(G42:G44)</f>
        <v>0</v>
      </c>
      <c r="H45" s="137">
        <f>SUM(H42:H44)</f>
        <v>0</v>
      </c>
    </row>
    <row r="46" spans="2:8" ht="13.5" customHeight="1" x14ac:dyDescent="0.35">
      <c r="B46" s="138">
        <v>45809</v>
      </c>
      <c r="C46" s="139" t="s">
        <v>82</v>
      </c>
      <c r="D46" s="139"/>
      <c r="E46" s="139"/>
      <c r="F46" s="139"/>
      <c r="G46" s="139"/>
      <c r="H46" s="140">
        <f>IFERROR(H45/D45,0)</f>
        <v>0</v>
      </c>
    </row>
    <row r="47" spans="2:8" ht="13.5" customHeight="1" x14ac:dyDescent="0.35">
      <c r="B47" s="75">
        <v>45869</v>
      </c>
      <c r="C47" s="76"/>
      <c r="D47" s="133"/>
      <c r="E47" s="134"/>
      <c r="F47" s="134"/>
      <c r="G47" s="134"/>
      <c r="H47" s="134"/>
    </row>
    <row r="48" spans="2:8" x14ac:dyDescent="0.35">
      <c r="B48" s="75">
        <v>45869</v>
      </c>
      <c r="C48" s="76"/>
      <c r="D48" s="133"/>
      <c r="E48" s="134"/>
      <c r="F48" s="134"/>
      <c r="G48" s="134"/>
      <c r="H48" s="134"/>
    </row>
    <row r="49" spans="2:8" x14ac:dyDescent="0.35">
      <c r="B49" s="75">
        <v>45840</v>
      </c>
      <c r="C49" s="122" t="s">
        <v>74</v>
      </c>
      <c r="D49" s="135">
        <f>SUM(D47:D48)</f>
        <v>0</v>
      </c>
      <c r="E49" s="135">
        <f>SUM(E47:E48)</f>
        <v>0</v>
      </c>
      <c r="F49" s="135">
        <f>SUM(F47:F48)</f>
        <v>0</v>
      </c>
      <c r="G49" s="135">
        <f>SUM(G47:G48)</f>
        <v>0</v>
      </c>
      <c r="H49" s="137">
        <f>SUM(H47:H48)</f>
        <v>0</v>
      </c>
    </row>
    <row r="50" spans="2:8" ht="13.5" customHeight="1" x14ac:dyDescent="0.35">
      <c r="B50" s="138">
        <v>45839</v>
      </c>
      <c r="C50" s="139" t="s">
        <v>82</v>
      </c>
      <c r="D50" s="139"/>
      <c r="E50" s="139"/>
      <c r="F50" s="139"/>
      <c r="G50" s="139"/>
      <c r="H50" s="140">
        <f t="shared" ref="H50" si="16">IFERROR(H49/D49,0)</f>
        <v>0</v>
      </c>
    </row>
    <row r="51" spans="2:8" ht="13.5" customHeight="1" x14ac:dyDescent="0.35">
      <c r="B51" s="75">
        <v>45871</v>
      </c>
      <c r="C51" s="76"/>
      <c r="D51" s="133"/>
      <c r="E51" s="134"/>
      <c r="F51" s="134"/>
      <c r="G51" s="134">
        <f t="shared" ref="G51:G52" si="17">(E51-F51)*0.0925</f>
        <v>0</v>
      </c>
      <c r="H51" s="134">
        <f t="shared" ref="H51:H52" si="18">E51-F51-G51</f>
        <v>0</v>
      </c>
    </row>
    <row r="52" spans="2:8" x14ac:dyDescent="0.35">
      <c r="B52" s="75">
        <v>45871</v>
      </c>
      <c r="C52" s="76"/>
      <c r="D52" s="133"/>
      <c r="E52" s="134"/>
      <c r="F52" s="134"/>
      <c r="G52" s="134">
        <f t="shared" si="17"/>
        <v>0</v>
      </c>
      <c r="H52" s="134">
        <f t="shared" si="18"/>
        <v>0</v>
      </c>
    </row>
    <row r="53" spans="2:8" x14ac:dyDescent="0.35">
      <c r="B53" s="75">
        <v>45871</v>
      </c>
      <c r="C53" s="122" t="s">
        <v>74</v>
      </c>
      <c r="D53" s="135">
        <f>SUM(D51:D52)</f>
        <v>0</v>
      </c>
      <c r="E53" s="136">
        <f>SUM(E51:E52)</f>
        <v>0</v>
      </c>
      <c r="F53" s="136">
        <f>SUM(F51:F52)</f>
        <v>0</v>
      </c>
      <c r="G53" s="136">
        <f>SUM(G51:G52)</f>
        <v>0</v>
      </c>
      <c r="H53" s="137">
        <f>SUM(H51:H52)</f>
        <v>0</v>
      </c>
    </row>
    <row r="54" spans="2:8" x14ac:dyDescent="0.35">
      <c r="B54" s="138">
        <v>45870</v>
      </c>
      <c r="C54" s="232" t="s">
        <v>82</v>
      </c>
      <c r="D54" s="139"/>
      <c r="E54" s="139"/>
      <c r="F54" s="139"/>
      <c r="G54" s="139"/>
      <c r="H54" s="140">
        <f>IFERROR(H53/D53,0)</f>
        <v>0</v>
      </c>
    </row>
    <row r="55" spans="2:8" x14ac:dyDescent="0.35">
      <c r="B55" s="189">
        <v>45902</v>
      </c>
      <c r="C55" s="76">
        <v>0</v>
      </c>
      <c r="D55" s="133">
        <v>0</v>
      </c>
      <c r="E55" s="134">
        <v>0</v>
      </c>
      <c r="F55" s="134">
        <v>0</v>
      </c>
      <c r="G55" s="134">
        <v>0</v>
      </c>
      <c r="H55" s="134">
        <f>E55-F55-G55</f>
        <v>0</v>
      </c>
    </row>
    <row r="56" spans="2:8" x14ac:dyDescent="0.35">
      <c r="B56" s="189">
        <v>45902</v>
      </c>
      <c r="C56" s="122" t="s">
        <v>74</v>
      </c>
      <c r="D56" s="135">
        <f>SUM(D55:D55)</f>
        <v>0</v>
      </c>
      <c r="E56" s="136">
        <f>SUM(E55:E55)</f>
        <v>0</v>
      </c>
      <c r="F56" s="136">
        <f>SUM(F55:F55)</f>
        <v>0</v>
      </c>
      <c r="G56" s="136">
        <f>SUM(G55:G55)</f>
        <v>0</v>
      </c>
      <c r="H56" s="137">
        <f>SUM(H55:H55)</f>
        <v>0</v>
      </c>
    </row>
    <row r="57" spans="2:8" x14ac:dyDescent="0.35">
      <c r="B57" s="138">
        <v>45901</v>
      </c>
      <c r="C57" s="139" t="s">
        <v>82</v>
      </c>
      <c r="D57" s="139"/>
      <c r="E57" s="139"/>
      <c r="F57" s="139"/>
      <c r="G57" s="139"/>
      <c r="H57" s="140">
        <f>IFERROR(H56/D56,0)</f>
        <v>0</v>
      </c>
    </row>
    <row r="58" spans="2:8" x14ac:dyDescent="0.35">
      <c r="B58" s="75">
        <v>45932</v>
      </c>
      <c r="C58" s="76">
        <v>163855</v>
      </c>
      <c r="D58" s="133">
        <v>13370</v>
      </c>
      <c r="E58" s="134">
        <v>58694.3</v>
      </c>
      <c r="F58" s="134">
        <v>895.76</v>
      </c>
      <c r="G58" s="134"/>
      <c r="H58" s="134">
        <f>E58-F58-G58</f>
        <v>57798.54</v>
      </c>
    </row>
    <row r="59" spans="2:8" x14ac:dyDescent="0.35">
      <c r="B59" s="75">
        <v>45932</v>
      </c>
      <c r="C59" s="122" t="s">
        <v>74</v>
      </c>
      <c r="D59" s="135">
        <f>SUM(D58:D58)</f>
        <v>13370</v>
      </c>
      <c r="E59" s="135">
        <f>SUM(E58:E58)</f>
        <v>58694.3</v>
      </c>
      <c r="F59" s="134"/>
      <c r="G59" s="134"/>
      <c r="H59" s="137">
        <f>SUM(H58:H58)</f>
        <v>57798.54</v>
      </c>
    </row>
    <row r="60" spans="2:8" x14ac:dyDescent="0.35">
      <c r="B60" s="138">
        <v>45931</v>
      </c>
      <c r="C60" s="139" t="s">
        <v>82</v>
      </c>
      <c r="D60" s="139"/>
      <c r="E60" s="139"/>
      <c r="F60" s="139"/>
      <c r="G60" s="139"/>
      <c r="H60" s="140">
        <f t="shared" ref="H60" si="19">IFERROR(H59/D59,0)</f>
        <v>4.3230022438294693</v>
      </c>
    </row>
    <row r="61" spans="2:8" x14ac:dyDescent="0.35">
      <c r="B61" s="75">
        <v>45963</v>
      </c>
      <c r="C61" s="76"/>
      <c r="D61" s="133"/>
      <c r="E61" s="134"/>
      <c r="F61" s="134">
        <v>0</v>
      </c>
      <c r="G61" s="134"/>
      <c r="H61" s="134">
        <f>E61-F61-G61</f>
        <v>0</v>
      </c>
    </row>
    <row r="62" spans="2:8" x14ac:dyDescent="0.35">
      <c r="B62" s="75">
        <v>45963</v>
      </c>
      <c r="C62" s="122" t="s">
        <v>74</v>
      </c>
      <c r="D62" s="135">
        <f>SUM(D61:D61)</f>
        <v>0</v>
      </c>
      <c r="E62" s="136">
        <f>SUM(E61:E61)</f>
        <v>0</v>
      </c>
      <c r="F62" s="136">
        <f>SUM(F61:F61)</f>
        <v>0</v>
      </c>
      <c r="G62" s="136">
        <f>SUM(G61:G61)</f>
        <v>0</v>
      </c>
      <c r="H62" s="137">
        <f>SUM(H61:H61)</f>
        <v>0</v>
      </c>
    </row>
    <row r="63" spans="2:8" x14ac:dyDescent="0.35">
      <c r="B63" s="138">
        <v>45962</v>
      </c>
      <c r="C63" s="139" t="s">
        <v>82</v>
      </c>
      <c r="D63" s="139"/>
      <c r="E63" s="139"/>
      <c r="F63" s="139"/>
      <c r="G63" s="139"/>
      <c r="H63" s="140">
        <f t="shared" ref="H63" si="20">IFERROR(H62/D62,0)</f>
        <v>0</v>
      </c>
    </row>
    <row r="64" spans="2:8" x14ac:dyDescent="0.35">
      <c r="B64" s="75">
        <v>45993</v>
      </c>
      <c r="C64" s="76">
        <v>167399</v>
      </c>
      <c r="D64" s="349">
        <v>27560</v>
      </c>
      <c r="E64" s="82">
        <v>120988.4</v>
      </c>
      <c r="F64" s="82">
        <v>1764.53</v>
      </c>
      <c r="G64" s="134">
        <v>0</v>
      </c>
      <c r="H64" s="134">
        <f>E64-F64</f>
        <v>119223.87</v>
      </c>
    </row>
    <row r="65" spans="2:8" x14ac:dyDescent="0.35">
      <c r="B65" s="75">
        <v>45993</v>
      </c>
      <c r="C65" s="76">
        <v>167403</v>
      </c>
      <c r="D65" s="349">
        <v>13830</v>
      </c>
      <c r="E65" s="82">
        <v>60713.7</v>
      </c>
      <c r="F65" s="82">
        <v>885.47</v>
      </c>
      <c r="G65" s="134">
        <v>0</v>
      </c>
      <c r="H65" s="134">
        <f t="shared" ref="H65:H73" si="21">E65-F65</f>
        <v>59828.229999999996</v>
      </c>
    </row>
    <row r="66" spans="2:8" x14ac:dyDescent="0.35">
      <c r="B66" s="75">
        <v>45993</v>
      </c>
      <c r="C66" s="76">
        <v>167424</v>
      </c>
      <c r="D66" s="349">
        <v>28970</v>
      </c>
      <c r="E66" s="82">
        <v>127178.3</v>
      </c>
      <c r="F66" s="82">
        <v>1854.8</v>
      </c>
      <c r="G66" s="134">
        <v>0</v>
      </c>
      <c r="H66" s="134">
        <f t="shared" si="21"/>
        <v>125323.5</v>
      </c>
    </row>
    <row r="67" spans="2:8" x14ac:dyDescent="0.35">
      <c r="B67" s="75">
        <v>45993</v>
      </c>
      <c r="C67" s="76">
        <v>167425</v>
      </c>
      <c r="D67" s="349">
        <v>27050</v>
      </c>
      <c r="E67" s="82">
        <v>118749.5</v>
      </c>
      <c r="F67" s="82">
        <v>1731.88</v>
      </c>
      <c r="G67" s="134">
        <v>0</v>
      </c>
      <c r="H67" s="134">
        <f t="shared" si="21"/>
        <v>117017.62</v>
      </c>
    </row>
    <row r="68" spans="2:8" x14ac:dyDescent="0.35">
      <c r="B68" s="75">
        <v>45993</v>
      </c>
      <c r="C68" s="76">
        <v>167426</v>
      </c>
      <c r="D68" s="349">
        <v>13450</v>
      </c>
      <c r="E68" s="82">
        <v>59045.5</v>
      </c>
      <c r="F68" s="82">
        <v>861.14</v>
      </c>
      <c r="G68" s="134">
        <v>0</v>
      </c>
      <c r="H68" s="134">
        <f t="shared" si="21"/>
        <v>58184.36</v>
      </c>
    </row>
    <row r="69" spans="2:8" x14ac:dyDescent="0.35">
      <c r="B69" s="75">
        <v>45993</v>
      </c>
      <c r="C69" s="76">
        <v>167449</v>
      </c>
      <c r="D69" s="349">
        <v>13400</v>
      </c>
      <c r="E69" s="82">
        <v>58826</v>
      </c>
      <c r="F69" s="82">
        <v>857.94</v>
      </c>
      <c r="G69" s="134">
        <v>0</v>
      </c>
      <c r="H69" s="134">
        <f t="shared" si="21"/>
        <v>57968.06</v>
      </c>
    </row>
    <row r="70" spans="2:8" x14ac:dyDescent="0.35">
      <c r="B70" s="75">
        <v>45993</v>
      </c>
      <c r="C70" s="76">
        <v>167486</v>
      </c>
      <c r="D70" s="349">
        <v>13270</v>
      </c>
      <c r="E70" s="82">
        <v>58255.3</v>
      </c>
      <c r="F70" s="82">
        <v>849.61</v>
      </c>
      <c r="G70" s="134">
        <v>0</v>
      </c>
      <c r="H70" s="134">
        <f t="shared" si="21"/>
        <v>57405.69</v>
      </c>
    </row>
    <row r="71" spans="2:8" x14ac:dyDescent="0.35">
      <c r="B71" s="75">
        <v>45993</v>
      </c>
      <c r="C71" s="76">
        <v>167490</v>
      </c>
      <c r="D71" s="349">
        <v>26510</v>
      </c>
      <c r="E71" s="82">
        <v>116378.9</v>
      </c>
      <c r="F71" s="82">
        <v>1697.3</v>
      </c>
      <c r="G71" s="134">
        <v>0</v>
      </c>
      <c r="H71" s="134">
        <f t="shared" si="21"/>
        <v>114681.59999999999</v>
      </c>
    </row>
    <row r="72" spans="2:8" x14ac:dyDescent="0.35">
      <c r="B72" s="75">
        <v>45993</v>
      </c>
      <c r="C72" s="76">
        <v>167491</v>
      </c>
      <c r="D72" s="349">
        <v>28320</v>
      </c>
      <c r="E72" s="82">
        <v>124324.8</v>
      </c>
      <c r="F72" s="82">
        <v>1813.19</v>
      </c>
      <c r="G72" s="134">
        <v>0</v>
      </c>
      <c r="H72" s="134">
        <f t="shared" si="21"/>
        <v>122511.61</v>
      </c>
    </row>
    <row r="73" spans="2:8" x14ac:dyDescent="0.35">
      <c r="B73" s="75">
        <v>45993</v>
      </c>
      <c r="C73" s="122" t="s">
        <v>74</v>
      </c>
      <c r="D73" s="135">
        <f>SUM(D64:D72)</f>
        <v>192360</v>
      </c>
      <c r="E73" s="350">
        <f t="shared" ref="E73:G73" si="22">SUM(E64:E72)</f>
        <v>844460.4</v>
      </c>
      <c r="F73" s="350">
        <f t="shared" si="22"/>
        <v>12315.86</v>
      </c>
      <c r="G73" s="135">
        <f t="shared" si="22"/>
        <v>0</v>
      </c>
      <c r="H73" s="134">
        <f t="shared" si="21"/>
        <v>832144.54</v>
      </c>
    </row>
    <row r="74" spans="2:8" x14ac:dyDescent="0.35">
      <c r="B74" s="138">
        <v>45992</v>
      </c>
      <c r="C74" s="139" t="s">
        <v>82</v>
      </c>
      <c r="D74" s="139"/>
      <c r="E74" s="139"/>
      <c r="F74" s="139"/>
      <c r="G74" s="139"/>
      <c r="H74" s="140">
        <f>IFERROR(H73/D73,0)</f>
        <v>4.3259749428155541</v>
      </c>
    </row>
    <row r="76" spans="2:8" x14ac:dyDescent="0.35">
      <c r="B76" s="317" t="s">
        <v>311</v>
      </c>
    </row>
    <row r="77" spans="2:8" ht="15" customHeight="1" x14ac:dyDescent="0.35"/>
    <row r="80" spans="2:8" ht="15" customHeight="1" x14ac:dyDescent="0.35"/>
    <row r="83" ht="15" customHeight="1" x14ac:dyDescent="0.35"/>
    <row r="86" ht="15" customHeight="1" x14ac:dyDescent="0.35"/>
    <row r="89" ht="15" customHeight="1" x14ac:dyDescent="0.35"/>
    <row r="92" ht="15" customHeight="1" x14ac:dyDescent="0.35"/>
    <row r="95" ht="15" customHeight="1" x14ac:dyDescent="0.35"/>
    <row r="98" ht="15" customHeight="1" x14ac:dyDescent="0.35"/>
    <row r="101" ht="15" customHeight="1" x14ac:dyDescent="0.35"/>
  </sheetData>
  <mergeCells count="1">
    <mergeCell ref="B1:P3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C28:C35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O25"/>
  <sheetViews>
    <sheetView showGridLines="0" zoomScale="110" zoomScaleNormal="110" workbookViewId="0">
      <selection activeCell="C19" sqref="C19:F20"/>
    </sheetView>
  </sheetViews>
  <sheetFormatPr defaultRowHeight="14.5" x14ac:dyDescent="0.35"/>
  <cols>
    <col min="1" max="1" width="4" customWidth="1"/>
    <col min="8" max="8" width="10.54296875" bestFit="1" customWidth="1"/>
  </cols>
  <sheetData>
    <row r="1" spans="1:15" x14ac:dyDescent="0.35">
      <c r="B1" s="363" t="s">
        <v>313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x14ac:dyDescent="0.35"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</row>
    <row r="3" spans="1:15" ht="21" customHeight="1" x14ac:dyDescent="0.35"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</row>
    <row r="5" spans="1:15" ht="15" thickBot="1" x14ac:dyDescent="0.4">
      <c r="C5" s="177"/>
      <c r="D5" s="184" t="s">
        <v>78</v>
      </c>
      <c r="E5" s="185"/>
      <c r="F5" s="186">
        <v>1</v>
      </c>
      <c r="H5" s="12"/>
      <c r="I5" s="35"/>
      <c r="J5" s="36"/>
    </row>
    <row r="6" spans="1:15" ht="15" thickBot="1" x14ac:dyDescent="0.4">
      <c r="C6" s="378" t="s">
        <v>137</v>
      </c>
      <c r="D6" s="379"/>
      <c r="E6" s="379"/>
      <c r="F6" s="380"/>
      <c r="H6" s="378" t="s">
        <v>138</v>
      </c>
      <c r="I6" s="379"/>
      <c r="J6" s="379"/>
      <c r="K6" s="380"/>
    </row>
    <row r="7" spans="1:15" s="3" customFormat="1" ht="43.5" x14ac:dyDescent="0.35">
      <c r="B7" s="169" t="s">
        <v>35</v>
      </c>
      <c r="C7" s="167" t="s">
        <v>95</v>
      </c>
      <c r="D7" s="167" t="s">
        <v>96</v>
      </c>
      <c r="E7" s="110" t="s">
        <v>60</v>
      </c>
      <c r="F7" s="110" t="s">
        <v>94</v>
      </c>
      <c r="G7" s="34"/>
      <c r="H7" s="166" t="s">
        <v>97</v>
      </c>
      <c r="I7" s="93" t="s">
        <v>61</v>
      </c>
      <c r="J7" s="93" t="s">
        <v>79</v>
      </c>
      <c r="K7" s="74" t="s">
        <v>62</v>
      </c>
    </row>
    <row r="8" spans="1:15" x14ac:dyDescent="0.35">
      <c r="A8" s="268" t="s">
        <v>246</v>
      </c>
      <c r="B8" s="106">
        <v>45657</v>
      </c>
      <c r="C8" s="107">
        <v>1.0634999999999999</v>
      </c>
      <c r="D8" s="107">
        <v>1.0634999999999999</v>
      </c>
      <c r="E8" s="107">
        <f>IFERROR(AVERAGE(C8:D8),0)</f>
        <v>1.0634999999999999</v>
      </c>
      <c r="F8" s="107">
        <f t="shared" ref="F8" si="0">E8*$F$5</f>
        <v>1.0634999999999999</v>
      </c>
      <c r="H8" s="298">
        <v>5.36</v>
      </c>
      <c r="I8" s="298">
        <f t="shared" ref="I8" si="1">H8-F8</f>
        <v>4.2965</v>
      </c>
      <c r="J8" s="299">
        <f t="shared" ref="J8" si="2">I8*0.0925</f>
        <v>0.39742624999999998</v>
      </c>
      <c r="K8" s="107">
        <f>I8</f>
        <v>4.2965</v>
      </c>
    </row>
    <row r="9" spans="1:15" x14ac:dyDescent="0.35">
      <c r="B9" s="108">
        <v>45658</v>
      </c>
      <c r="C9" s="107">
        <v>1.0634999999999999</v>
      </c>
      <c r="D9" s="107">
        <v>1.0634999999999999</v>
      </c>
      <c r="E9" s="107">
        <f t="shared" ref="E9:E16" si="3">IFERROR(AVERAGE(C9:D9),0)</f>
        <v>1.0634999999999999</v>
      </c>
      <c r="F9" s="107">
        <f>E9*$F$5</f>
        <v>1.0634999999999999</v>
      </c>
      <c r="H9" s="107">
        <f>'ANP Óleo Comb'!M6</f>
        <v>5.4560000000000004</v>
      </c>
      <c r="I9" s="298">
        <f>H9-F9</f>
        <v>4.3925000000000001</v>
      </c>
      <c r="J9" s="299">
        <f t="shared" ref="J9:J12" si="4">I9*0.0925</f>
        <v>0.40630624999999998</v>
      </c>
      <c r="K9" s="107">
        <f>I9</f>
        <v>4.3925000000000001</v>
      </c>
    </row>
    <row r="10" spans="1:15" x14ac:dyDescent="0.35">
      <c r="A10" s="268" t="s">
        <v>247</v>
      </c>
      <c r="B10" s="108">
        <v>45689</v>
      </c>
      <c r="C10" s="107">
        <v>1.1200000000000001</v>
      </c>
      <c r="D10" s="107">
        <v>1.1200000000000001</v>
      </c>
      <c r="E10" s="107">
        <f t="shared" si="3"/>
        <v>1.1200000000000001</v>
      </c>
      <c r="F10" s="107">
        <f t="shared" ref="F10:F11" si="5">E10*$F$5</f>
        <v>1.1200000000000001</v>
      </c>
      <c r="H10" s="107">
        <f>'ANP Óleo Comb'!M8</f>
        <v>5.375</v>
      </c>
      <c r="I10" s="298">
        <f>H10-F10</f>
        <v>4.2549999999999999</v>
      </c>
      <c r="J10" s="299">
        <f t="shared" si="4"/>
        <v>0.39358749999999998</v>
      </c>
      <c r="K10" s="107">
        <f>I10</f>
        <v>4.2549999999999999</v>
      </c>
    </row>
    <row r="11" spans="1:15" x14ac:dyDescent="0.35">
      <c r="B11" s="108">
        <v>45717</v>
      </c>
      <c r="C11" s="107">
        <v>1.1200000000000001</v>
      </c>
      <c r="D11" s="107">
        <v>1.1200000000000001</v>
      </c>
      <c r="E11" s="107">
        <f t="shared" si="3"/>
        <v>1.1200000000000001</v>
      </c>
      <c r="F11" s="107">
        <f t="shared" si="5"/>
        <v>1.1200000000000001</v>
      </c>
      <c r="H11" s="107">
        <f>'ANP Óleo Comb'!M10</f>
        <v>5.6070000000000002</v>
      </c>
      <c r="I11" s="298">
        <f t="shared" ref="I11" si="6">H11-F11</f>
        <v>4.4870000000000001</v>
      </c>
      <c r="J11" s="299">
        <f t="shared" si="4"/>
        <v>0.41504750000000001</v>
      </c>
      <c r="K11" s="107">
        <f t="shared" ref="K11" si="7">I11</f>
        <v>4.4870000000000001</v>
      </c>
    </row>
    <row r="12" spans="1:15" x14ac:dyDescent="0.35">
      <c r="B12" s="108">
        <v>45748</v>
      </c>
      <c r="C12" s="107">
        <v>1.1200000000000001</v>
      </c>
      <c r="D12" s="107">
        <v>1.1200000000000001</v>
      </c>
      <c r="E12" s="107">
        <f t="shared" si="3"/>
        <v>1.1200000000000001</v>
      </c>
      <c r="F12" s="107">
        <f>E12*$F$5</f>
        <v>1.1200000000000001</v>
      </c>
      <c r="H12" s="107">
        <f>'ANP Óleo Comb'!M12</f>
        <v>5.556</v>
      </c>
      <c r="I12" s="298">
        <f>H12-F12</f>
        <v>4.4359999999999999</v>
      </c>
      <c r="J12" s="299">
        <f t="shared" si="4"/>
        <v>0.41032999999999997</v>
      </c>
      <c r="K12" s="107">
        <f>I12</f>
        <v>4.4359999999999999</v>
      </c>
    </row>
    <row r="13" spans="1:15" x14ac:dyDescent="0.35">
      <c r="B13" s="108">
        <v>45778</v>
      </c>
      <c r="C13" s="107">
        <v>1.1200000000000001</v>
      </c>
      <c r="D13" s="107">
        <v>1.1200000000000001</v>
      </c>
      <c r="E13" s="107">
        <f t="shared" si="3"/>
        <v>1.1200000000000001</v>
      </c>
      <c r="F13" s="107">
        <f t="shared" ref="F13:F16" si="8">E13*100%</f>
        <v>1.1200000000000001</v>
      </c>
      <c r="H13" s="107">
        <f>'ANP Óleo Comb'!M14</f>
        <v>5.343</v>
      </c>
      <c r="I13" s="298">
        <f>H13-F13</f>
        <v>4.2229999999999999</v>
      </c>
      <c r="J13" s="299">
        <f t="shared" ref="J13:J20" si="9">I13*0.0925</f>
        <v>0.39062749999999996</v>
      </c>
      <c r="K13" s="107">
        <f>I13</f>
        <v>4.2229999999999999</v>
      </c>
    </row>
    <row r="14" spans="1:15" x14ac:dyDescent="0.35">
      <c r="B14" s="108">
        <v>45809</v>
      </c>
      <c r="C14" s="107">
        <v>1.1200000000000001</v>
      </c>
      <c r="D14" s="107">
        <v>1.1200000000000001</v>
      </c>
      <c r="E14" s="107">
        <f t="shared" si="3"/>
        <v>1.1200000000000001</v>
      </c>
      <c r="F14" s="107">
        <f t="shared" si="8"/>
        <v>1.1200000000000001</v>
      </c>
      <c r="H14" s="298">
        <f>'ANP Óleo Comb'!M16</f>
        <v>5.14</v>
      </c>
      <c r="I14" s="298">
        <f t="shared" ref="I14:I20" si="10">H14-F14</f>
        <v>4.0199999999999996</v>
      </c>
      <c r="J14" s="299">
        <f t="shared" si="9"/>
        <v>0.37184999999999996</v>
      </c>
      <c r="K14" s="298">
        <f t="shared" ref="K14:K20" si="11">I14</f>
        <v>4.0199999999999996</v>
      </c>
    </row>
    <row r="15" spans="1:15" x14ac:dyDescent="0.35">
      <c r="B15" s="108">
        <v>45839</v>
      </c>
      <c r="C15" s="107">
        <v>1.1200000000000001</v>
      </c>
      <c r="D15" s="107">
        <v>1.1200000000000001</v>
      </c>
      <c r="E15" s="107">
        <f t="shared" si="3"/>
        <v>1.1200000000000001</v>
      </c>
      <c r="F15" s="107">
        <f t="shared" si="8"/>
        <v>1.1200000000000001</v>
      </c>
      <c r="H15" s="298">
        <f>'ANP Óleo Comb'!M18</f>
        <v>5.14</v>
      </c>
      <c r="I15" s="298">
        <f>H15-F15</f>
        <v>4.0199999999999996</v>
      </c>
      <c r="J15" s="299">
        <f t="shared" si="9"/>
        <v>0.37184999999999996</v>
      </c>
      <c r="K15" s="298">
        <f>I15</f>
        <v>4.0199999999999996</v>
      </c>
    </row>
    <row r="16" spans="1:15" x14ac:dyDescent="0.35">
      <c r="B16" s="108">
        <v>45870</v>
      </c>
      <c r="C16" s="107">
        <v>1.1200000000000001</v>
      </c>
      <c r="D16" s="107">
        <v>1.1200000000000001</v>
      </c>
      <c r="E16" s="107">
        <f t="shared" si="3"/>
        <v>1.1200000000000001</v>
      </c>
      <c r="F16" s="107">
        <f t="shared" si="8"/>
        <v>1.1200000000000001</v>
      </c>
      <c r="H16" s="298">
        <f>'ANP Óleo Comb'!M20</f>
        <v>5.12</v>
      </c>
      <c r="I16" s="298">
        <f t="shared" si="10"/>
        <v>4</v>
      </c>
      <c r="J16" s="299">
        <f t="shared" si="9"/>
        <v>0.37</v>
      </c>
      <c r="K16" s="298">
        <f>I16</f>
        <v>4</v>
      </c>
    </row>
    <row r="17" spans="1:11" x14ac:dyDescent="0.35">
      <c r="B17" s="108">
        <v>45901</v>
      </c>
      <c r="C17" s="107">
        <v>1.1200000000000001</v>
      </c>
      <c r="D17" s="107">
        <v>1.1200000000000001</v>
      </c>
      <c r="E17" s="107">
        <f t="shared" ref="E17" si="12">IFERROR(AVERAGE(C17:D17),0)</f>
        <v>1.1200000000000001</v>
      </c>
      <c r="F17" s="107">
        <f t="shared" ref="F17" si="13">E17*100%</f>
        <v>1.1200000000000001</v>
      </c>
      <c r="H17" s="107">
        <f>'ANP Óleo Comb'!M22</f>
        <v>5.117</v>
      </c>
      <c r="I17" s="107">
        <f t="shared" si="10"/>
        <v>3.9969999999999999</v>
      </c>
      <c r="J17" s="299">
        <f t="shared" si="9"/>
        <v>0.36972250000000001</v>
      </c>
      <c r="K17" s="107">
        <f>I17</f>
        <v>3.9969999999999999</v>
      </c>
    </row>
    <row r="18" spans="1:11" x14ac:dyDescent="0.35">
      <c r="B18" s="108">
        <v>45931</v>
      </c>
      <c r="C18" s="107">
        <v>1.1200000000000001</v>
      </c>
      <c r="D18" s="107">
        <v>1.1200000000000001</v>
      </c>
      <c r="E18" s="107">
        <f t="shared" ref="E18" si="14">IFERROR(AVERAGE(C18:D18),0)</f>
        <v>1.1200000000000001</v>
      </c>
      <c r="F18" s="107">
        <f t="shared" ref="F18" si="15">E18*100%</f>
        <v>1.1200000000000001</v>
      </c>
      <c r="H18" s="322">
        <f>'ANP Óleo Comb'!M24</f>
        <v>5.1710000000000003</v>
      </c>
      <c r="I18" s="107">
        <f t="shared" si="10"/>
        <v>4.0510000000000002</v>
      </c>
      <c r="J18" s="107">
        <f t="shared" si="9"/>
        <v>0.37471750000000004</v>
      </c>
      <c r="K18" s="107">
        <f>I18</f>
        <v>4.0510000000000002</v>
      </c>
    </row>
    <row r="19" spans="1:11" x14ac:dyDescent="0.35">
      <c r="B19" s="108">
        <v>45962</v>
      </c>
      <c r="C19" s="107">
        <v>1.1200000000000001</v>
      </c>
      <c r="D19" s="107">
        <v>1.1200000000000001</v>
      </c>
      <c r="E19" s="107">
        <f t="shared" ref="E19" si="16">IFERROR(AVERAGE(C19:D19),0)</f>
        <v>1.1200000000000001</v>
      </c>
      <c r="F19" s="107">
        <f t="shared" ref="F19" si="17">E19*100%</f>
        <v>1.1200000000000001</v>
      </c>
      <c r="H19" s="322">
        <f>'ANP Óleo Comb'!M26</f>
        <v>5.1710000000000003</v>
      </c>
      <c r="I19" s="107">
        <f t="shared" si="10"/>
        <v>4.0510000000000002</v>
      </c>
      <c r="J19" s="107">
        <f t="shared" si="9"/>
        <v>0.37471750000000004</v>
      </c>
      <c r="K19" s="107">
        <f>I19</f>
        <v>4.0510000000000002</v>
      </c>
    </row>
    <row r="20" spans="1:11" x14ac:dyDescent="0.35">
      <c r="B20" s="108">
        <v>45992</v>
      </c>
      <c r="C20" s="107">
        <v>1.1200000000000001</v>
      </c>
      <c r="D20" s="107">
        <v>1.1200000000000001</v>
      </c>
      <c r="E20" s="107">
        <f t="shared" ref="E20" si="18">IFERROR(AVERAGE(C20:D20),0)</f>
        <v>1.1200000000000001</v>
      </c>
      <c r="F20" s="107">
        <f t="shared" ref="F20" si="19">E20*100%</f>
        <v>1.1200000000000001</v>
      </c>
      <c r="H20" s="107">
        <f>'ANP Óleo Comb'!M28</f>
        <v>5.2009999999999996</v>
      </c>
      <c r="I20" s="107">
        <f t="shared" si="10"/>
        <v>4.0809999999999995</v>
      </c>
      <c r="J20" s="107">
        <f t="shared" si="9"/>
        <v>0.37749249999999995</v>
      </c>
      <c r="K20" s="107">
        <f t="shared" si="11"/>
        <v>4.0809999999999995</v>
      </c>
    </row>
    <row r="22" spans="1:11" x14ac:dyDescent="0.35">
      <c r="A22" s="268" t="s">
        <v>246</v>
      </c>
      <c r="B22" t="s">
        <v>249</v>
      </c>
    </row>
    <row r="23" spans="1:11" x14ac:dyDescent="0.35">
      <c r="A23" s="268" t="s">
        <v>247</v>
      </c>
      <c r="B23" t="s">
        <v>248</v>
      </c>
    </row>
    <row r="25" spans="1:11" x14ac:dyDescent="0.35">
      <c r="B25" s="317" t="s">
        <v>311</v>
      </c>
    </row>
  </sheetData>
  <mergeCells count="3">
    <mergeCell ref="B1:O3"/>
    <mergeCell ref="C6:F6"/>
    <mergeCell ref="H6:K6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E8:E12 E13:E16 E17:E19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B1:Q34"/>
  <sheetViews>
    <sheetView showGridLines="0" zoomScale="80" zoomScaleNormal="80" workbookViewId="0">
      <selection activeCell="L28" sqref="L28:L29"/>
    </sheetView>
  </sheetViews>
  <sheetFormatPr defaultRowHeight="14.5" x14ac:dyDescent="0.35"/>
  <cols>
    <col min="1" max="1" width="3.54296875" customWidth="1"/>
    <col min="3" max="8" width="7.81640625" customWidth="1"/>
    <col min="9" max="9" width="10.54296875" customWidth="1"/>
    <col min="10" max="10" width="11.54296875" customWidth="1"/>
    <col min="12" max="12" width="11.54296875" bestFit="1" customWidth="1"/>
    <col min="13" max="13" width="11.7265625" customWidth="1"/>
    <col min="14" max="14" width="12.26953125" customWidth="1"/>
    <col min="15" max="15" width="13.7265625" customWidth="1"/>
    <col min="16" max="16" width="15.81640625" bestFit="1" customWidth="1"/>
  </cols>
  <sheetData>
    <row r="1" spans="2:17" x14ac:dyDescent="0.35">
      <c r="B1" s="363" t="s">
        <v>314</v>
      </c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</row>
    <row r="2" spans="2:17" x14ac:dyDescent="0.35"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</row>
    <row r="3" spans="2:17" x14ac:dyDescent="0.35"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</row>
    <row r="4" spans="2:17" ht="15" thickBot="1" x14ac:dyDescent="0.4">
      <c r="B4" s="1"/>
      <c r="C4" s="1"/>
      <c r="D4" s="1"/>
      <c r="E4" s="1"/>
      <c r="F4" s="1"/>
      <c r="G4" s="1"/>
      <c r="H4" s="1"/>
      <c r="L4" s="391" t="s">
        <v>44</v>
      </c>
      <c r="M4" s="392"/>
      <c r="N4" s="393"/>
    </row>
    <row r="5" spans="2:17" s="4" customFormat="1" ht="44" thickBot="1" x14ac:dyDescent="0.4">
      <c r="B5" s="173" t="s">
        <v>35</v>
      </c>
      <c r="C5" s="152" t="s">
        <v>36</v>
      </c>
      <c r="D5" s="152" t="s">
        <v>37</v>
      </c>
      <c r="E5" s="152" t="s">
        <v>38</v>
      </c>
      <c r="F5" s="152" t="s">
        <v>39</v>
      </c>
      <c r="G5" s="152" t="s">
        <v>40</v>
      </c>
      <c r="H5" s="156" t="s">
        <v>41</v>
      </c>
      <c r="I5" s="148" t="s">
        <v>42</v>
      </c>
      <c r="J5" s="148" t="s">
        <v>63</v>
      </c>
      <c r="K5" s="148" t="s">
        <v>43</v>
      </c>
      <c r="L5" s="147" t="s">
        <v>46</v>
      </c>
      <c r="M5" s="147" t="s">
        <v>47</v>
      </c>
      <c r="N5" s="148" t="s">
        <v>45</v>
      </c>
      <c r="O5" s="149" t="s">
        <v>48</v>
      </c>
    </row>
    <row r="6" spans="2:17" x14ac:dyDescent="0.35">
      <c r="B6" s="150">
        <v>45658</v>
      </c>
      <c r="C6" s="153">
        <v>3.5428299999999999</v>
      </c>
      <c r="D6" s="153">
        <v>3.6099299999999999</v>
      </c>
      <c r="E6" s="154">
        <v>3.5604499999999999</v>
      </c>
      <c r="F6" s="154">
        <v>3.5819100000000001</v>
      </c>
      <c r="G6" s="154">
        <v>3.5671400000000002</v>
      </c>
      <c r="H6" s="154"/>
      <c r="I6" s="383">
        <f>IFERROR((C7*C6+D7*D6+E7*E6+F7*F6+G7*G6+H7*H6)/SUM(C7:H7),0)</f>
        <v>3.5747058064516133</v>
      </c>
      <c r="J6" s="383">
        <f>I6*0.0925</f>
        <v>0.33066028709677425</v>
      </c>
      <c r="K6" s="383">
        <f>I6-J6</f>
        <v>3.244045519354839</v>
      </c>
      <c r="L6" s="383">
        <v>0.61399999999999999</v>
      </c>
      <c r="M6" s="383">
        <v>5.4560000000000004</v>
      </c>
      <c r="N6" s="381">
        <f>IFERROR(L6/M6,0)</f>
        <v>0.11253665689149558</v>
      </c>
      <c r="O6" s="383">
        <f>K6*(1+N6)</f>
        <v>3.6091195569068684</v>
      </c>
      <c r="P6" s="4"/>
      <c r="Q6" s="4"/>
    </row>
    <row r="7" spans="2:17" ht="15" thickBot="1" x14ac:dyDescent="0.4">
      <c r="B7" s="151" t="s">
        <v>49</v>
      </c>
      <c r="C7" s="155">
        <v>5</v>
      </c>
      <c r="D7" s="155">
        <v>7</v>
      </c>
      <c r="E7" s="155">
        <v>7</v>
      </c>
      <c r="F7" s="155">
        <v>7</v>
      </c>
      <c r="G7" s="155">
        <v>5</v>
      </c>
      <c r="H7" s="158"/>
      <c r="I7" s="384"/>
      <c r="J7" s="384"/>
      <c r="K7" s="384"/>
      <c r="L7" s="384"/>
      <c r="M7" s="384"/>
      <c r="N7" s="382"/>
      <c r="O7" s="384"/>
      <c r="P7" s="4"/>
      <c r="Q7" s="4"/>
    </row>
    <row r="8" spans="2:17" x14ac:dyDescent="0.35">
      <c r="B8" s="150">
        <v>45689</v>
      </c>
      <c r="C8" s="153">
        <v>4.0338099999999999</v>
      </c>
      <c r="D8" s="153">
        <v>4.2833500000000004</v>
      </c>
      <c r="E8" s="154">
        <v>4.2819500000000001</v>
      </c>
      <c r="F8" s="154">
        <v>4.2730199999999998</v>
      </c>
      <c r="G8" s="154">
        <v>4.2823900000000004</v>
      </c>
      <c r="H8" s="157"/>
      <c r="I8" s="383">
        <f>IFERROR((C9*C8+D9*D8+E9*E8+F9*F8+G9*G8+H9*H8)/SUM(C9:H9),0)</f>
        <v>4.2624217857142863</v>
      </c>
      <c r="J8" s="383">
        <f t="shared" ref="J8" si="0">I8*0.0925</f>
        <v>0.39427401517857147</v>
      </c>
      <c r="K8" s="383">
        <f>I8-J8</f>
        <v>3.8681477705357148</v>
      </c>
      <c r="L8" s="383">
        <v>1.0249999999999999</v>
      </c>
      <c r="M8" s="383">
        <v>5.375</v>
      </c>
      <c r="N8" s="381">
        <f>IFERROR(L8/M8,0)</f>
        <v>0.19069767441860463</v>
      </c>
      <c r="O8" s="383">
        <f t="shared" ref="O8" si="1">K8*(1+N8)</f>
        <v>4.6057945546843859</v>
      </c>
      <c r="P8" s="4"/>
      <c r="Q8" s="4"/>
    </row>
    <row r="9" spans="2:17" ht="15" thickBot="1" x14ac:dyDescent="0.4">
      <c r="B9" s="151" t="s">
        <v>49</v>
      </c>
      <c r="C9" s="155">
        <v>2</v>
      </c>
      <c r="D9" s="155">
        <v>7</v>
      </c>
      <c r="E9" s="155">
        <v>7</v>
      </c>
      <c r="F9" s="155">
        <v>7</v>
      </c>
      <c r="G9" s="155">
        <v>5</v>
      </c>
      <c r="H9" s="158"/>
      <c r="I9" s="384"/>
      <c r="J9" s="384"/>
      <c r="K9" s="384"/>
      <c r="L9" s="384"/>
      <c r="M9" s="384"/>
      <c r="N9" s="382"/>
      <c r="O9" s="384"/>
      <c r="P9" s="4"/>
      <c r="Q9" s="4"/>
    </row>
    <row r="10" spans="2:17" x14ac:dyDescent="0.35">
      <c r="B10" s="150">
        <v>45717</v>
      </c>
      <c r="C10" s="278">
        <v>3.16804</v>
      </c>
      <c r="D10" s="278">
        <v>3.0522800000000001</v>
      </c>
      <c r="E10" s="278">
        <v>3.1060699999999999</v>
      </c>
      <c r="F10" s="278">
        <v>3.0022000000000002</v>
      </c>
      <c r="G10" s="278">
        <v>2.9672499999999999</v>
      </c>
      <c r="H10" s="157">
        <v>2.9090099999999999</v>
      </c>
      <c r="I10" s="383">
        <f t="shared" ref="I10" si="2">IFERROR((C11*C10+D11*D10+E11*E10+F11*F10+G11*G10+H11*H10)/SUM(C11:H11),0)</f>
        <v>3.0367641935483873</v>
      </c>
      <c r="J10" s="383">
        <f>I10*0.0925</f>
        <v>0.28090068790322581</v>
      </c>
      <c r="K10" s="383">
        <f>I10-J10</f>
        <v>2.7558635056451615</v>
      </c>
      <c r="L10" s="383">
        <v>0.76300000000000001</v>
      </c>
      <c r="M10" s="383">
        <v>5.6070000000000002</v>
      </c>
      <c r="N10" s="387">
        <f t="shared" ref="N10" si="3">IFERROR(L10/M10,0)</f>
        <v>0.13607990012484394</v>
      </c>
      <c r="O10" s="383">
        <f>K10*(1+N10)</f>
        <v>3.1308811362510576</v>
      </c>
      <c r="P10" s="4"/>
      <c r="Q10" s="4"/>
    </row>
    <row r="11" spans="2:17" ht="15" thickBot="1" x14ac:dyDescent="0.4">
      <c r="B11" s="151" t="s">
        <v>49</v>
      </c>
      <c r="C11" s="155">
        <v>2</v>
      </c>
      <c r="D11" s="155">
        <v>7</v>
      </c>
      <c r="E11" s="155">
        <v>7</v>
      </c>
      <c r="F11" s="155">
        <v>7</v>
      </c>
      <c r="G11" s="155">
        <v>7</v>
      </c>
      <c r="H11" s="158">
        <v>1</v>
      </c>
      <c r="I11" s="384"/>
      <c r="J11" s="384"/>
      <c r="K11" s="384"/>
      <c r="L11" s="384"/>
      <c r="M11" s="384"/>
      <c r="N11" s="388"/>
      <c r="O11" s="384"/>
      <c r="P11" s="4"/>
      <c r="Q11" s="4"/>
    </row>
    <row r="12" spans="2:17" x14ac:dyDescent="0.35">
      <c r="B12" s="150">
        <v>45748</v>
      </c>
      <c r="C12" s="153">
        <v>2.9090099999999999</v>
      </c>
      <c r="D12" s="153">
        <v>2.9761500000000001</v>
      </c>
      <c r="E12" s="153">
        <v>2.86314</v>
      </c>
      <c r="F12" s="154">
        <v>2.9707699999999999</v>
      </c>
      <c r="G12" s="154">
        <v>2.9334600000000002</v>
      </c>
      <c r="H12" s="157"/>
      <c r="I12" s="383">
        <f t="shared" ref="I12" si="4">IFERROR((C13*C12+D13*D12+E13*E12+F13*F12+G13*G12+H13*H12)/SUM(C13:H13),0)</f>
        <v>2.9308286666666663</v>
      </c>
      <c r="J12" s="383">
        <f t="shared" ref="J12" si="5">I12*0.0925</f>
        <v>0.27110165166666661</v>
      </c>
      <c r="K12" s="383">
        <f t="shared" ref="K12" si="6">I12-J12</f>
        <v>2.6597270149999996</v>
      </c>
      <c r="L12" s="383">
        <v>0.73399999999999999</v>
      </c>
      <c r="M12" s="383">
        <v>5.556</v>
      </c>
      <c r="N12" s="387">
        <f t="shared" ref="N12" si="7">IFERROR(L12/M12,0)</f>
        <v>0.13210943124550037</v>
      </c>
      <c r="O12" s="383">
        <f t="shared" ref="O12" si="8">K12*(1+N12)</f>
        <v>3.011102038219942</v>
      </c>
      <c r="P12" s="4"/>
      <c r="Q12" s="4"/>
    </row>
    <row r="13" spans="2:17" ht="15" thickBot="1" x14ac:dyDescent="0.4">
      <c r="B13" s="151" t="s">
        <v>49</v>
      </c>
      <c r="C13" s="155">
        <v>6</v>
      </c>
      <c r="D13" s="155">
        <v>7</v>
      </c>
      <c r="E13" s="155">
        <v>7</v>
      </c>
      <c r="F13" s="155">
        <v>7</v>
      </c>
      <c r="G13" s="155">
        <v>3</v>
      </c>
      <c r="H13" s="158"/>
      <c r="I13" s="384"/>
      <c r="J13" s="384"/>
      <c r="K13" s="384"/>
      <c r="L13" s="384"/>
      <c r="M13" s="384"/>
      <c r="N13" s="388"/>
      <c r="O13" s="384"/>
      <c r="P13" s="4"/>
      <c r="Q13" s="4"/>
    </row>
    <row r="14" spans="2:17" x14ac:dyDescent="0.35">
      <c r="B14" s="150">
        <v>45778</v>
      </c>
      <c r="C14" s="153">
        <v>2.9334600000000002</v>
      </c>
      <c r="D14" s="153">
        <v>2.7871299999999999</v>
      </c>
      <c r="E14" s="154">
        <v>2.84693</v>
      </c>
      <c r="F14" s="154">
        <v>2.9422000000000001</v>
      </c>
      <c r="G14" s="154">
        <v>2.9269799999999999</v>
      </c>
      <c r="H14" s="157"/>
      <c r="I14" s="383">
        <f t="shared" ref="I14" si="9">IFERROR((C15*C14+D15*D14+E15*E14+F15*F14+G15*G14+H15*H14)/SUM(C15:H15),0)</f>
        <v>2.8815980645161288</v>
      </c>
      <c r="J14" s="383">
        <f t="shared" ref="J14" si="10">I14*0.0925</f>
        <v>0.26654782096774193</v>
      </c>
      <c r="K14" s="383">
        <f>I14-J14</f>
        <v>2.6150502435483869</v>
      </c>
      <c r="L14" s="383">
        <v>0.80700000000000005</v>
      </c>
      <c r="M14" s="383">
        <v>5.343</v>
      </c>
      <c r="N14" s="387">
        <f t="shared" ref="N14" si="11">IFERROR(L14/M14,0)</f>
        <v>0.15103874227961819</v>
      </c>
      <c r="O14" s="383">
        <f t="shared" ref="O14" si="12">K14*(1+N14)</f>
        <v>3.0100241433319446</v>
      </c>
      <c r="P14" s="4"/>
      <c r="Q14" s="4"/>
    </row>
    <row r="15" spans="2:17" ht="15" thickBot="1" x14ac:dyDescent="0.4">
      <c r="B15" s="151" t="s">
        <v>49</v>
      </c>
      <c r="C15" s="155">
        <v>4</v>
      </c>
      <c r="D15" s="155">
        <v>7</v>
      </c>
      <c r="E15" s="155">
        <v>7</v>
      </c>
      <c r="F15" s="155">
        <v>7</v>
      </c>
      <c r="G15" s="155">
        <v>6</v>
      </c>
      <c r="H15" s="158"/>
      <c r="I15" s="384"/>
      <c r="J15" s="384"/>
      <c r="K15" s="384"/>
      <c r="L15" s="384"/>
      <c r="M15" s="384"/>
      <c r="N15" s="388"/>
      <c r="O15" s="384"/>
      <c r="P15" s="4"/>
      <c r="Q15" s="4"/>
    </row>
    <row r="16" spans="2:17" x14ac:dyDescent="0.35">
      <c r="B16" s="150">
        <v>45809</v>
      </c>
      <c r="C16" s="153">
        <v>2.9269799999999999</v>
      </c>
      <c r="D16" s="153">
        <v>2.66276</v>
      </c>
      <c r="E16" s="154">
        <v>2.8372700000000002</v>
      </c>
      <c r="F16" s="154">
        <v>2.9317799999999998</v>
      </c>
      <c r="G16" s="157">
        <v>3.0274299999999998</v>
      </c>
      <c r="H16" s="157">
        <f>((C16*C17+D16*D17+E16*E17+F16*F17+G16*G17)/SUM(C17:G17))</f>
        <v>2.8669537931034483</v>
      </c>
      <c r="I16" s="383">
        <f>IFERROR((C17*C16+D17*D16+E17*E16+F17*F16+G17*G16+H17*H16)/SUM(C17:H17),0)</f>
        <v>2.8669537931034483</v>
      </c>
      <c r="J16" s="383">
        <f t="shared" ref="J16" si="13">I16*0.0925</f>
        <v>0.26519322586206895</v>
      </c>
      <c r="K16" s="383">
        <f t="shared" ref="K16" si="14">I16-J16</f>
        <v>2.6017605672413793</v>
      </c>
      <c r="L16" s="383">
        <v>1.01</v>
      </c>
      <c r="M16" s="383">
        <v>5.14</v>
      </c>
      <c r="N16" s="381">
        <f t="shared" ref="N16" si="15">IFERROR(L16/M16,0)</f>
        <v>0.19649805447470819</v>
      </c>
      <c r="O16" s="383">
        <f t="shared" ref="O16:O22" si="16">K16*(1+N16)</f>
        <v>3.1130014569133233</v>
      </c>
      <c r="P16" s="4"/>
      <c r="Q16" s="4"/>
    </row>
    <row r="17" spans="2:17" ht="15" thickBot="1" x14ac:dyDescent="0.4">
      <c r="B17" s="151" t="s">
        <v>49</v>
      </c>
      <c r="C17" s="155">
        <v>1</v>
      </c>
      <c r="D17" s="155">
        <v>7</v>
      </c>
      <c r="E17" s="155">
        <v>7</v>
      </c>
      <c r="F17" s="155">
        <v>7</v>
      </c>
      <c r="G17" s="155">
        <v>7</v>
      </c>
      <c r="H17" s="158">
        <v>1</v>
      </c>
      <c r="I17" s="384"/>
      <c r="J17" s="384"/>
      <c r="K17" s="384"/>
      <c r="L17" s="384"/>
      <c r="M17" s="384"/>
      <c r="N17" s="382"/>
      <c r="O17" s="384"/>
      <c r="P17" s="4"/>
      <c r="Q17" s="4"/>
    </row>
    <row r="18" spans="2:17" x14ac:dyDescent="0.35">
      <c r="B18" s="150">
        <v>45839</v>
      </c>
      <c r="C18" s="153">
        <v>2.7966899999999999</v>
      </c>
      <c r="D18" s="153">
        <v>2.78315</v>
      </c>
      <c r="E18" s="154">
        <v>2.8226800000000001</v>
      </c>
      <c r="F18" s="154">
        <v>2.79373</v>
      </c>
      <c r="G18" s="157">
        <f>((C18*C19+D18*D19+E18*E19+F18*F19)/SUM(C19:F19))</f>
        <v>2.7991503703703704</v>
      </c>
      <c r="H18" s="157"/>
      <c r="I18" s="383">
        <f t="shared" ref="I18:I22" si="17">IFERROR((C19*C18+D19*D18+E19*E18+F19*F18+G19*G18+H19*H18)/SUM(C19:H19),0)</f>
        <v>2.7991503703703704</v>
      </c>
      <c r="J18" s="383">
        <f>I18*0.0925</f>
        <v>0.25892140925925927</v>
      </c>
      <c r="K18" s="383">
        <f>I18-J18</f>
        <v>2.5402289611111111</v>
      </c>
      <c r="L18" s="383">
        <v>0.92</v>
      </c>
      <c r="M18" s="383">
        <v>5.14</v>
      </c>
      <c r="N18" s="381">
        <f t="shared" ref="N18:N22" si="18">IFERROR(L18/M18,0)</f>
        <v>0.17898832684824906</v>
      </c>
      <c r="O18" s="383">
        <f t="shared" si="16"/>
        <v>2.9949002926718546</v>
      </c>
      <c r="P18" s="4"/>
      <c r="Q18" s="4"/>
    </row>
    <row r="19" spans="2:17" ht="15" thickBot="1" x14ac:dyDescent="0.4">
      <c r="B19" s="151" t="s">
        <v>49</v>
      </c>
      <c r="C19" s="155">
        <v>6</v>
      </c>
      <c r="D19" s="155">
        <v>7</v>
      </c>
      <c r="E19" s="155">
        <v>7</v>
      </c>
      <c r="F19" s="155">
        <v>7</v>
      </c>
      <c r="G19" s="155">
        <v>4</v>
      </c>
      <c r="H19" s="158"/>
      <c r="I19" s="384"/>
      <c r="J19" s="384"/>
      <c r="K19" s="384"/>
      <c r="L19" s="384"/>
      <c r="M19" s="384"/>
      <c r="N19" s="382"/>
      <c r="O19" s="384"/>
      <c r="P19" s="11"/>
    </row>
    <row r="20" spans="2:17" x14ac:dyDescent="0.35">
      <c r="B20" s="150">
        <v>45870</v>
      </c>
      <c r="C20" s="153">
        <v>2.84518</v>
      </c>
      <c r="D20" s="153">
        <v>3.03172</v>
      </c>
      <c r="E20" s="154">
        <v>2.8192300000000001</v>
      </c>
      <c r="F20" s="154">
        <v>2.6206900000000002</v>
      </c>
      <c r="G20" s="154">
        <v>2.6659000000000002</v>
      </c>
      <c r="H20" s="157"/>
      <c r="I20" s="383">
        <f t="shared" si="17"/>
        <v>2.7902683870967739</v>
      </c>
      <c r="J20" s="383">
        <f t="shared" ref="J20" si="19">I20*0.0925</f>
        <v>0.25809982580645158</v>
      </c>
      <c r="K20" s="383">
        <f t="shared" ref="K20" si="20">I20-J20</f>
        <v>2.5321685612903222</v>
      </c>
      <c r="L20" s="383">
        <v>0.94</v>
      </c>
      <c r="M20" s="383">
        <v>5.12</v>
      </c>
      <c r="N20" s="381">
        <f t="shared" si="18"/>
        <v>0.18359374999999997</v>
      </c>
      <c r="O20" s="383">
        <f t="shared" si="16"/>
        <v>2.9970588830897174</v>
      </c>
      <c r="P20" s="11"/>
    </row>
    <row r="21" spans="2:17" ht="15" thickBot="1" x14ac:dyDescent="0.4">
      <c r="B21" s="151" t="s">
        <v>49</v>
      </c>
      <c r="C21" s="155">
        <v>3</v>
      </c>
      <c r="D21" s="155">
        <v>7</v>
      </c>
      <c r="E21" s="155">
        <v>7</v>
      </c>
      <c r="F21" s="155">
        <v>7</v>
      </c>
      <c r="G21" s="155">
        <v>7</v>
      </c>
      <c r="H21" s="158"/>
      <c r="I21" s="384"/>
      <c r="J21" s="384"/>
      <c r="K21" s="384"/>
      <c r="L21" s="384"/>
      <c r="M21" s="384"/>
      <c r="N21" s="382"/>
      <c r="O21" s="384"/>
    </row>
    <row r="22" spans="2:17" ht="15.75" customHeight="1" x14ac:dyDescent="0.35">
      <c r="B22" s="150">
        <v>45901</v>
      </c>
      <c r="C22" s="153">
        <v>3.3744999999999998</v>
      </c>
      <c r="D22" s="153">
        <v>2.9232900000000002</v>
      </c>
      <c r="E22" s="154">
        <v>2.8756200000000001</v>
      </c>
      <c r="F22" s="154">
        <v>2.9424999999999999</v>
      </c>
      <c r="G22" s="154">
        <f>(C22*C23+D22*D23+E22*E23+F22*F23)/(C23+D23+E23+F23)</f>
        <v>3.0289774999999999</v>
      </c>
      <c r="H22" s="157"/>
      <c r="I22" s="383">
        <f t="shared" si="17"/>
        <v>3.0289774999999999</v>
      </c>
      <c r="J22" s="383">
        <f t="shared" ref="J22" si="21">I22*0.0925</f>
        <v>0.28018041874999999</v>
      </c>
      <c r="K22" s="383">
        <f t="shared" ref="K22" si="22">I22-J22</f>
        <v>2.7487970812499998</v>
      </c>
      <c r="L22" s="385">
        <v>0.94299999999999995</v>
      </c>
      <c r="M22" s="385">
        <v>5.117</v>
      </c>
      <c r="N22" s="381">
        <f t="shared" si="18"/>
        <v>0.1842876685557944</v>
      </c>
      <c r="O22" s="383">
        <f t="shared" si="16"/>
        <v>3.2553664866865346</v>
      </c>
    </row>
    <row r="23" spans="2:17" ht="15" thickBot="1" x14ac:dyDescent="0.4">
      <c r="B23" s="151" t="s">
        <v>49</v>
      </c>
      <c r="C23" s="155">
        <v>7</v>
      </c>
      <c r="D23" s="155">
        <v>7</v>
      </c>
      <c r="E23" s="155">
        <v>7</v>
      </c>
      <c r="F23" s="155">
        <v>7</v>
      </c>
      <c r="G23" s="155">
        <v>3</v>
      </c>
      <c r="H23" s="158"/>
      <c r="I23" s="384"/>
      <c r="J23" s="384"/>
      <c r="K23" s="384"/>
      <c r="L23" s="386"/>
      <c r="M23" s="386"/>
      <c r="N23" s="382"/>
      <c r="O23" s="384"/>
    </row>
    <row r="24" spans="2:17" ht="14.25" customHeight="1" x14ac:dyDescent="0.35">
      <c r="B24" s="150">
        <v>45931</v>
      </c>
      <c r="C24" s="318">
        <v>2.8654999999999999</v>
      </c>
      <c r="D24" s="318">
        <v>2.8424800000000001</v>
      </c>
      <c r="E24" s="320">
        <v>2.8081399999999999</v>
      </c>
      <c r="F24" s="319">
        <v>2.7920099999999999</v>
      </c>
      <c r="G24" s="319">
        <f>(C24*C25+D24*D25+E24*E25+F24+F25)/SUM(C25:F25)</f>
        <v>2.4489942307692307</v>
      </c>
      <c r="H24" s="157"/>
      <c r="I24" s="383">
        <f t="shared" ref="I24" si="23">IFERROR((C25*C24+D25*D24+E25*E24+F25*F24+G25*G24+H25*H24)/SUM(C25:H25),0)</f>
        <v>2.7635768114143917</v>
      </c>
      <c r="J24" s="383">
        <f t="shared" ref="J24" si="24">I24*0.0925</f>
        <v>0.25563085505583122</v>
      </c>
      <c r="K24" s="383">
        <f t="shared" ref="K24" si="25">I24-J24</f>
        <v>2.5079459563585607</v>
      </c>
      <c r="L24" s="385">
        <v>0.88900000000000001</v>
      </c>
      <c r="M24" s="385">
        <v>5.1710000000000003</v>
      </c>
      <c r="N24" s="381">
        <f t="shared" ref="N24" si="26">IFERROR(L24/M24,0)</f>
        <v>0.17192032488880293</v>
      </c>
      <c r="O24" s="383">
        <f>K24*(1+N24)</f>
        <v>2.9391128399792841</v>
      </c>
    </row>
    <row r="25" spans="2:17" ht="15" thickBot="1" x14ac:dyDescent="0.4">
      <c r="B25" s="151" t="s">
        <v>49</v>
      </c>
      <c r="C25" s="155">
        <v>5</v>
      </c>
      <c r="D25" s="155">
        <v>7</v>
      </c>
      <c r="E25" s="155">
        <v>7</v>
      </c>
      <c r="F25" s="155">
        <v>7</v>
      </c>
      <c r="G25" s="155">
        <v>5</v>
      </c>
      <c r="H25" s="158">
        <v>0</v>
      </c>
      <c r="I25" s="384"/>
      <c r="J25" s="384"/>
      <c r="K25" s="384"/>
      <c r="L25" s="386"/>
      <c r="M25" s="386"/>
      <c r="N25" s="382"/>
      <c r="O25" s="384"/>
    </row>
    <row r="26" spans="2:17" x14ac:dyDescent="0.35">
      <c r="B26" s="150">
        <v>45962</v>
      </c>
      <c r="C26" s="153">
        <v>2.7700499999999999</v>
      </c>
      <c r="D26" s="154">
        <v>2.7688799999999998</v>
      </c>
      <c r="E26" s="154">
        <f>((C26*C27+D26*D27)/SUM(C27:D27))</f>
        <v>2.7691399999999997</v>
      </c>
      <c r="F26" s="154">
        <v>2.73752</v>
      </c>
      <c r="G26" s="154">
        <v>2.74248</v>
      </c>
      <c r="H26" s="157"/>
      <c r="I26" s="383">
        <f>IFERROR((C27*C26+D27*D26+E27*E26+F27*F26+G27*G26+H27*H26)/SUM(C27:H27),0)</f>
        <v>2.7555413333333334</v>
      </c>
      <c r="J26" s="383">
        <f>I26*0.0925</f>
        <v>0.25488757333333334</v>
      </c>
      <c r="K26" s="383">
        <f>I26-J26</f>
        <v>2.5006537600000001</v>
      </c>
      <c r="L26" s="385">
        <v>0.88900000000000001</v>
      </c>
      <c r="M26" s="385">
        <v>5.1710000000000003</v>
      </c>
      <c r="N26" s="381">
        <f>IFERROR(L26/M26,0)</f>
        <v>0.17192032488880293</v>
      </c>
      <c r="O26" s="383">
        <f>K26*(1+N26)</f>
        <v>2.9305669668536072</v>
      </c>
    </row>
    <row r="27" spans="2:17" ht="15" thickBot="1" x14ac:dyDescent="0.4">
      <c r="B27" s="151" t="s">
        <v>49</v>
      </c>
      <c r="C27" s="155">
        <v>2</v>
      </c>
      <c r="D27" s="155">
        <v>7</v>
      </c>
      <c r="E27" s="155">
        <v>7</v>
      </c>
      <c r="F27" s="155">
        <v>7</v>
      </c>
      <c r="G27" s="155">
        <v>7</v>
      </c>
      <c r="H27" s="158"/>
      <c r="I27" s="384"/>
      <c r="J27" s="384"/>
      <c r="K27" s="384"/>
      <c r="L27" s="386"/>
      <c r="M27" s="386"/>
      <c r="N27" s="382"/>
      <c r="O27" s="384"/>
    </row>
    <row r="28" spans="2:17" x14ac:dyDescent="0.35">
      <c r="B28" s="150">
        <v>45992</v>
      </c>
      <c r="C28" s="153">
        <v>2.7859099999999999</v>
      </c>
      <c r="D28" s="153">
        <v>2.72784</v>
      </c>
      <c r="E28" s="154">
        <v>2.73502</v>
      </c>
      <c r="F28" s="154">
        <v>2.5728</v>
      </c>
      <c r="G28" s="154">
        <v>2.56867</v>
      </c>
      <c r="H28" s="157"/>
      <c r="I28" s="383">
        <f t="shared" ref="I28" si="27">IFERROR((C29*C28+D29*D28+E29*E28+F29*F28+G29*G28+H29*H28)/SUM(C29:H29),0)</f>
        <v>2.6921612903225811</v>
      </c>
      <c r="J28" s="383">
        <f>I28*0.0925</f>
        <v>0.24902491935483875</v>
      </c>
      <c r="K28" s="383">
        <f t="shared" ref="K28" si="28">I28-J28</f>
        <v>2.4431363709677423</v>
      </c>
      <c r="L28" s="383">
        <v>0.86900000000000066</v>
      </c>
      <c r="M28" s="385">
        <v>5.2009999999999996</v>
      </c>
      <c r="N28" s="381">
        <f>IFERROR(L28/M28,0)</f>
        <v>0.16708325322053466</v>
      </c>
      <c r="O28" s="383">
        <f t="shared" ref="O28" si="29">K28*(1+N28)</f>
        <v>2.8513435438904438</v>
      </c>
      <c r="Q28" s="262"/>
    </row>
    <row r="29" spans="2:17" ht="15" thickBot="1" x14ac:dyDescent="0.4">
      <c r="B29" s="151" t="s">
        <v>49</v>
      </c>
      <c r="C29" s="155">
        <v>7</v>
      </c>
      <c r="D29" s="155">
        <v>7</v>
      </c>
      <c r="E29" s="155">
        <v>7</v>
      </c>
      <c r="F29" s="155">
        <v>7</v>
      </c>
      <c r="G29" s="155">
        <v>3</v>
      </c>
      <c r="H29" s="158"/>
      <c r="I29" s="384"/>
      <c r="J29" s="384"/>
      <c r="K29" s="384"/>
      <c r="L29" s="384"/>
      <c r="M29" s="386"/>
      <c r="N29" s="382"/>
      <c r="O29" s="384"/>
      <c r="Q29" s="262"/>
    </row>
    <row r="30" spans="2:17" x14ac:dyDescent="0.35">
      <c r="Q30" s="262"/>
    </row>
    <row r="31" spans="2:17" x14ac:dyDescent="0.35">
      <c r="Q31" s="262"/>
    </row>
    <row r="32" spans="2:17" x14ac:dyDescent="0.35">
      <c r="B32" s="179" t="s">
        <v>147</v>
      </c>
      <c r="C32" s="179"/>
      <c r="D32" s="179"/>
      <c r="E32" s="179"/>
      <c r="F32" s="179"/>
      <c r="G32" s="179"/>
      <c r="Q32" s="262"/>
    </row>
    <row r="33" spans="2:15" ht="26.25" customHeight="1" x14ac:dyDescent="0.35">
      <c r="B33" s="389" t="s">
        <v>215</v>
      </c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89"/>
    </row>
    <row r="34" spans="2:15" x14ac:dyDescent="0.35">
      <c r="B34" s="317" t="s">
        <v>311</v>
      </c>
    </row>
  </sheetData>
  <mergeCells count="87">
    <mergeCell ref="B33:O33"/>
    <mergeCell ref="B1:O3"/>
    <mergeCell ref="L4:N4"/>
    <mergeCell ref="I6:I7"/>
    <mergeCell ref="J6:J7"/>
    <mergeCell ref="K6:K7"/>
    <mergeCell ref="L6:L7"/>
    <mergeCell ref="M6:M7"/>
    <mergeCell ref="N6:N7"/>
    <mergeCell ref="O6:O7"/>
    <mergeCell ref="I8:I9"/>
    <mergeCell ref="J8:J9"/>
    <mergeCell ref="K8:K9"/>
    <mergeCell ref="L8:L9"/>
    <mergeCell ref="M8:M9"/>
    <mergeCell ref="N8:N9"/>
    <mergeCell ref="O8:O9"/>
    <mergeCell ref="N10:N11"/>
    <mergeCell ref="O10:O11"/>
    <mergeCell ref="I12:I13"/>
    <mergeCell ref="J12:J13"/>
    <mergeCell ref="K12:K13"/>
    <mergeCell ref="L12:L13"/>
    <mergeCell ref="M12:M13"/>
    <mergeCell ref="N12:N13"/>
    <mergeCell ref="O12:O13"/>
    <mergeCell ref="I10:I11"/>
    <mergeCell ref="J10:J11"/>
    <mergeCell ref="K10:K11"/>
    <mergeCell ref="L10:L11"/>
    <mergeCell ref="M10:M11"/>
    <mergeCell ref="N14:N15"/>
    <mergeCell ref="O14:O15"/>
    <mergeCell ref="I16:I17"/>
    <mergeCell ref="J16:J17"/>
    <mergeCell ref="K16:K17"/>
    <mergeCell ref="L16:L17"/>
    <mergeCell ref="M16:M17"/>
    <mergeCell ref="N16:N17"/>
    <mergeCell ref="O16:O17"/>
    <mergeCell ref="I14:I15"/>
    <mergeCell ref="J14:J15"/>
    <mergeCell ref="K14:K15"/>
    <mergeCell ref="L14:L15"/>
    <mergeCell ref="M14:M15"/>
    <mergeCell ref="N18:N19"/>
    <mergeCell ref="O18:O19"/>
    <mergeCell ref="I20:I21"/>
    <mergeCell ref="J20:J21"/>
    <mergeCell ref="K20:K21"/>
    <mergeCell ref="L20:L21"/>
    <mergeCell ref="M20:M21"/>
    <mergeCell ref="N20:N21"/>
    <mergeCell ref="O20:O21"/>
    <mergeCell ref="I18:I19"/>
    <mergeCell ref="J18:J19"/>
    <mergeCell ref="K18:K19"/>
    <mergeCell ref="L18:L19"/>
    <mergeCell ref="M18:M19"/>
    <mergeCell ref="N22:N23"/>
    <mergeCell ref="O22:O23"/>
    <mergeCell ref="I24:I25"/>
    <mergeCell ref="J24:J25"/>
    <mergeCell ref="K24:K25"/>
    <mergeCell ref="L24:L25"/>
    <mergeCell ref="M24:M25"/>
    <mergeCell ref="N24:N25"/>
    <mergeCell ref="O24:O25"/>
    <mergeCell ref="I22:I23"/>
    <mergeCell ref="J22:J23"/>
    <mergeCell ref="K22:K23"/>
    <mergeCell ref="L22:L23"/>
    <mergeCell ref="M22:M23"/>
    <mergeCell ref="N26:N27"/>
    <mergeCell ref="O26:O27"/>
    <mergeCell ref="I28:I29"/>
    <mergeCell ref="J28:J29"/>
    <mergeCell ref="K28:K29"/>
    <mergeCell ref="L28:L29"/>
    <mergeCell ref="M28:M29"/>
    <mergeCell ref="N28:N29"/>
    <mergeCell ref="O28:O29"/>
    <mergeCell ref="I26:I27"/>
    <mergeCell ref="J26:J27"/>
    <mergeCell ref="K26:K27"/>
    <mergeCell ref="L26:L27"/>
    <mergeCell ref="M26:M27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B1:Z151"/>
  <sheetViews>
    <sheetView showGridLines="0" zoomScale="90" zoomScaleNormal="90" workbookViewId="0">
      <pane ySplit="5" topLeftCell="A6" activePane="bottomLeft" state="frozen"/>
      <selection pane="bottomLeft" activeCell="U19" sqref="U19"/>
    </sheetView>
  </sheetViews>
  <sheetFormatPr defaultRowHeight="14.5" x14ac:dyDescent="0.35"/>
  <cols>
    <col min="1" max="1" width="5" customWidth="1"/>
    <col min="2" max="2" width="11" customWidth="1"/>
    <col min="3" max="3" width="13.453125" bestFit="1" customWidth="1"/>
    <col min="4" max="4" width="10.26953125" style="30" bestFit="1" customWidth="1"/>
    <col min="5" max="6" width="13" style="28" bestFit="1" customWidth="1"/>
    <col min="7" max="7" width="11.453125" style="28" bestFit="1" customWidth="1"/>
    <col min="8" max="8" width="11.7265625" customWidth="1"/>
    <col min="9" max="9" width="17.453125" style="28" customWidth="1"/>
    <col min="10" max="10" width="13.453125" hidden="1" customWidth="1"/>
    <col min="11" max="11" width="11.54296875" hidden="1" customWidth="1"/>
    <col min="12" max="13" width="12.81640625" hidden="1" customWidth="1"/>
    <col min="14" max="14" width="9.81640625" customWidth="1"/>
    <col min="15" max="17" width="9.1796875" customWidth="1"/>
    <col min="18" max="18" width="11.453125" bestFit="1" customWidth="1"/>
    <col min="19" max="19" width="10.26953125" bestFit="1" customWidth="1"/>
    <col min="20" max="20" width="16.453125" customWidth="1"/>
    <col min="21" max="21" width="13" customWidth="1"/>
    <col min="22" max="22" width="13.81640625" customWidth="1"/>
    <col min="23" max="23" width="13.1796875" customWidth="1"/>
    <col min="24" max="24" width="15.26953125" customWidth="1"/>
    <col min="25" max="25" width="11" bestFit="1" customWidth="1"/>
    <col min="26" max="26" width="17.1796875" customWidth="1"/>
  </cols>
  <sheetData>
    <row r="1" spans="2:26" ht="23.25" customHeight="1" x14ac:dyDescent="0.35">
      <c r="B1" s="363" t="s">
        <v>312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</row>
    <row r="2" spans="2:26" x14ac:dyDescent="0.35"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</row>
    <row r="3" spans="2:26" x14ac:dyDescent="0.35">
      <c r="B3" s="24"/>
      <c r="C3" s="24"/>
      <c r="D3" s="24"/>
      <c r="E3" s="24"/>
      <c r="F3" s="24"/>
      <c r="G3" s="183" t="s">
        <v>78</v>
      </c>
      <c r="H3" s="183">
        <v>0.12</v>
      </c>
      <c r="I3" s="43"/>
      <c r="J3" s="24"/>
      <c r="K3" s="24"/>
      <c r="L3" s="24"/>
      <c r="M3" s="24"/>
      <c r="N3" s="24"/>
      <c r="O3" s="24"/>
      <c r="P3" s="24"/>
    </row>
    <row r="4" spans="2:26" x14ac:dyDescent="0.35">
      <c r="G4" s="394" t="s">
        <v>221</v>
      </c>
      <c r="H4" s="395"/>
      <c r="I4" s="395"/>
      <c r="T4" s="176" t="s">
        <v>141</v>
      </c>
    </row>
    <row r="5" spans="2:26" ht="43.5" x14ac:dyDescent="0.35">
      <c r="B5" s="169" t="s">
        <v>70</v>
      </c>
      <c r="C5" s="169" t="s">
        <v>66</v>
      </c>
      <c r="D5" s="169" t="s">
        <v>193</v>
      </c>
      <c r="E5" s="169" t="s">
        <v>68</v>
      </c>
      <c r="F5" s="93" t="s">
        <v>114</v>
      </c>
      <c r="G5" s="93" t="s">
        <v>99</v>
      </c>
      <c r="H5" s="93" t="s">
        <v>100</v>
      </c>
      <c r="I5" s="93" t="s">
        <v>62</v>
      </c>
      <c r="J5" s="159" t="s">
        <v>98</v>
      </c>
      <c r="K5" s="18" t="s">
        <v>117</v>
      </c>
      <c r="L5" s="20" t="s">
        <v>121</v>
      </c>
      <c r="M5" s="20" t="s">
        <v>136</v>
      </c>
      <c r="T5" s="169" t="s">
        <v>81</v>
      </c>
      <c r="U5" s="74" t="s">
        <v>139</v>
      </c>
      <c r="V5" s="169" t="s">
        <v>143</v>
      </c>
      <c r="W5" s="169" t="s">
        <v>142</v>
      </c>
      <c r="X5" s="169" t="s">
        <v>145</v>
      </c>
      <c r="Y5" s="169" t="s">
        <v>144</v>
      </c>
      <c r="Z5" s="169" t="s">
        <v>140</v>
      </c>
    </row>
    <row r="6" spans="2:26" x14ac:dyDescent="0.35">
      <c r="B6" s="252">
        <v>45536</v>
      </c>
      <c r="C6" s="253">
        <v>148003</v>
      </c>
      <c r="D6" s="254">
        <v>60000</v>
      </c>
      <c r="E6" s="255">
        <v>322200</v>
      </c>
      <c r="F6" s="255">
        <f>IFERROR(D6*VLOOKUP(B6,'ANP Diesel'!$B$8:$E$20,4,0),0)</f>
        <v>0</v>
      </c>
      <c r="G6" s="255">
        <v>63810</v>
      </c>
      <c r="H6" s="161">
        <v>0</v>
      </c>
      <c r="I6" s="255">
        <f t="shared" ref="I6:I9" si="0">E6-G6-H6</f>
        <v>258390</v>
      </c>
      <c r="T6" s="75">
        <v>45536</v>
      </c>
      <c r="U6" s="175">
        <f>I11</f>
        <v>4.3064999999999998</v>
      </c>
      <c r="V6" s="77">
        <v>45571</v>
      </c>
      <c r="W6" s="77">
        <v>45572</v>
      </c>
      <c r="X6" s="175">
        <v>4.3064999999999998</v>
      </c>
      <c r="Y6" s="75" t="str">
        <f>IF(V6&gt;W6,"ATRASO",IF(V6="","NÃO HÁ NF","OK"))</f>
        <v>OK</v>
      </c>
      <c r="Z6" s="75"/>
    </row>
    <row r="7" spans="2:26" x14ac:dyDescent="0.35">
      <c r="B7" s="252">
        <v>45536</v>
      </c>
      <c r="C7" s="253">
        <v>1477550</v>
      </c>
      <c r="D7" s="254">
        <v>35000</v>
      </c>
      <c r="E7" s="255">
        <v>187950</v>
      </c>
      <c r="F7" s="255">
        <f>IFERROR(D7*VLOOKUP(B7,'ANP Diesel'!$B$8:$E$20,4,0),0)</f>
        <v>0</v>
      </c>
      <c r="G7" s="255">
        <v>37222.5</v>
      </c>
      <c r="H7" s="161">
        <v>0</v>
      </c>
      <c r="I7" s="255">
        <f t="shared" si="0"/>
        <v>150727.5</v>
      </c>
      <c r="T7" s="99" t="s">
        <v>244</v>
      </c>
      <c r="U7" s="175">
        <f t="shared" ref="U7:U13" si="1">IF(Z7="SIM",X7,IF(W7&gt;=V7,X7,IF(W7&gt;=V6,X6,U6)))</f>
        <v>4.3064999999999998</v>
      </c>
      <c r="V7" s="77" t="s">
        <v>266</v>
      </c>
      <c r="W7" s="77">
        <v>45695</v>
      </c>
      <c r="X7" s="175">
        <f>IFERROR(VLOOKUP(T7,$B$6:$R$52,8,FALSE),0)</f>
        <v>0</v>
      </c>
      <c r="Y7" s="75" t="str">
        <f>IF(V7&gt;W7,"ATRASO",IF(V7="","NÃO HÁ NF","OK"))</f>
        <v>ATRASO</v>
      </c>
      <c r="Z7" s="75"/>
    </row>
    <row r="8" spans="2:26" x14ac:dyDescent="0.35">
      <c r="B8" s="252">
        <v>45536</v>
      </c>
      <c r="C8" s="253">
        <v>147845</v>
      </c>
      <c r="D8" s="254">
        <v>25000</v>
      </c>
      <c r="E8" s="255">
        <v>134250</v>
      </c>
      <c r="F8" s="255">
        <f>IFERROR(D8*VLOOKUP(B8,'ANP Diesel'!$B$8:$E$20,4,0),0)</f>
        <v>0</v>
      </c>
      <c r="G8" s="255">
        <v>26587.5</v>
      </c>
      <c r="H8" s="161">
        <v>0</v>
      </c>
      <c r="I8" s="255">
        <f t="shared" si="0"/>
        <v>107662.5</v>
      </c>
      <c r="T8" s="75">
        <v>45689</v>
      </c>
      <c r="U8" s="175">
        <f t="shared" si="1"/>
        <v>4.3064999999999998</v>
      </c>
      <c r="V8" s="77" t="s">
        <v>266</v>
      </c>
      <c r="W8" s="77">
        <v>45726</v>
      </c>
      <c r="X8" s="175">
        <f>I21</f>
        <v>0</v>
      </c>
      <c r="Y8" s="75" t="str">
        <f>IF(V8&gt;W8,"ATRASO",IF(V8="","NÃO HÁ NF","OK"))</f>
        <v>ATRASO</v>
      </c>
      <c r="Z8" s="75"/>
    </row>
    <row r="9" spans="2:26" x14ac:dyDescent="0.35">
      <c r="B9" s="252">
        <v>45536</v>
      </c>
      <c r="C9" s="253">
        <v>148002</v>
      </c>
      <c r="D9" s="254">
        <v>30000</v>
      </c>
      <c r="E9" s="255">
        <v>161100</v>
      </c>
      <c r="F9" s="255">
        <f>IFERROR(D9*VLOOKUP(B9,'ANP Diesel'!$B$8:$E$20,4,0),0)</f>
        <v>0</v>
      </c>
      <c r="G9" s="255">
        <v>31905</v>
      </c>
      <c r="H9" s="161">
        <v>0</v>
      </c>
      <c r="I9" s="255">
        <f t="shared" si="0"/>
        <v>129195</v>
      </c>
      <c r="T9" s="75">
        <v>45717</v>
      </c>
      <c r="U9" s="175">
        <f t="shared" si="1"/>
        <v>4.3064999999999998</v>
      </c>
      <c r="V9" s="77" t="s">
        <v>266</v>
      </c>
      <c r="W9" s="77">
        <v>45754</v>
      </c>
      <c r="X9" s="175">
        <f t="shared" ref="X9:X13" si="2">IFERROR(VLOOKUP(T9,$B$6:$R$52,8,FALSE),0)</f>
        <v>0</v>
      </c>
      <c r="Y9" s="75" t="str">
        <f t="shared" ref="Y9:Y13" si="3">IF(V9&gt;W9,"ATRASO",IF(V9="","NÃO HÁ NF","OK"))</f>
        <v>ATRASO</v>
      </c>
      <c r="Z9" s="75"/>
    </row>
    <row r="10" spans="2:26" x14ac:dyDescent="0.35">
      <c r="B10" s="108">
        <v>45536</v>
      </c>
      <c r="C10" s="122" t="s">
        <v>74</v>
      </c>
      <c r="D10" s="135">
        <f>SUM(D6:D9)</f>
        <v>150000</v>
      </c>
      <c r="E10" s="122" t="s">
        <v>74</v>
      </c>
      <c r="F10" s="135">
        <f>SUM(F6:F9)</f>
        <v>0</v>
      </c>
      <c r="G10" s="137">
        <f>SUM(G6:G9)</f>
        <v>159525</v>
      </c>
      <c r="H10" s="136">
        <f>SUM(H6:H9)</f>
        <v>0</v>
      </c>
      <c r="I10" s="137">
        <f>SUM(I6:I9)</f>
        <v>645975</v>
      </c>
      <c r="J10" s="131"/>
      <c r="K10" s="137">
        <f>SUM(K6:K9)</f>
        <v>0</v>
      </c>
      <c r="T10" s="75">
        <v>45748</v>
      </c>
      <c r="U10" s="175">
        <f t="shared" si="1"/>
        <v>4.1436400000000004</v>
      </c>
      <c r="V10" s="77">
        <v>45784</v>
      </c>
      <c r="W10" s="77">
        <v>45785</v>
      </c>
      <c r="X10" s="175">
        <f t="shared" si="2"/>
        <v>4.1436400000000004</v>
      </c>
      <c r="Y10" s="75" t="str">
        <f t="shared" si="3"/>
        <v>OK</v>
      </c>
      <c r="Z10" s="75"/>
    </row>
    <row r="11" spans="2:26" x14ac:dyDescent="0.35">
      <c r="B11" s="251">
        <v>45537</v>
      </c>
      <c r="C11" s="171" t="s">
        <v>75</v>
      </c>
      <c r="D11" s="251">
        <v>45537</v>
      </c>
      <c r="E11" s="171" t="s">
        <v>75</v>
      </c>
      <c r="F11" s="171"/>
      <c r="G11" s="171"/>
      <c r="H11" s="171"/>
      <c r="I11" s="140">
        <f>IFERROR(I10/D10,0)</f>
        <v>4.3064999999999998</v>
      </c>
      <c r="J11" s="170"/>
      <c r="K11" s="140">
        <f>IFERROR(K10/F10,0)</f>
        <v>0</v>
      </c>
      <c r="T11" s="286">
        <v>45778</v>
      </c>
      <c r="U11" s="175">
        <f t="shared" si="1"/>
        <v>4.1436400000000004</v>
      </c>
      <c r="V11" s="77" t="s">
        <v>266</v>
      </c>
      <c r="W11" s="77">
        <v>45814</v>
      </c>
      <c r="X11" s="175">
        <f t="shared" si="2"/>
        <v>0</v>
      </c>
      <c r="Y11" s="75" t="str">
        <f t="shared" si="3"/>
        <v>ATRASO</v>
      </c>
      <c r="Z11" s="75"/>
    </row>
    <row r="12" spans="2:26" x14ac:dyDescent="0.35">
      <c r="B12" s="109">
        <v>45688</v>
      </c>
      <c r="C12" s="122"/>
      <c r="D12" s="264"/>
      <c r="E12" s="265"/>
      <c r="F12" s="136"/>
      <c r="G12" s="136"/>
      <c r="H12" s="131"/>
      <c r="I12" s="265"/>
      <c r="T12" s="145">
        <v>45809</v>
      </c>
      <c r="U12" s="175">
        <f t="shared" si="1"/>
        <v>4.1436400000000004</v>
      </c>
      <c r="V12" s="77" t="s">
        <v>266</v>
      </c>
      <c r="W12" s="77">
        <v>45845</v>
      </c>
      <c r="X12" s="175">
        <f t="shared" si="2"/>
        <v>0</v>
      </c>
      <c r="Y12" s="75" t="str">
        <f t="shared" si="3"/>
        <v>ATRASO</v>
      </c>
      <c r="Z12" s="75"/>
    </row>
    <row r="13" spans="2:26" x14ac:dyDescent="0.35">
      <c r="B13" s="109">
        <v>45688</v>
      </c>
      <c r="C13" s="267"/>
      <c r="D13" s="267"/>
      <c r="E13" s="267"/>
      <c r="F13" s="267"/>
      <c r="G13" s="267"/>
      <c r="H13" s="266"/>
      <c r="I13" s="136"/>
      <c r="T13" s="142">
        <v>45839</v>
      </c>
      <c r="U13" s="175">
        <f t="shared" si="1"/>
        <v>4.5436363636363639</v>
      </c>
      <c r="V13" s="77">
        <v>45876</v>
      </c>
      <c r="W13" s="77">
        <v>45876</v>
      </c>
      <c r="X13" s="175">
        <f t="shared" si="2"/>
        <v>4.5436363636363639</v>
      </c>
      <c r="Y13" s="75" t="str">
        <f t="shared" si="3"/>
        <v>OK</v>
      </c>
      <c r="Z13" s="75"/>
    </row>
    <row r="14" spans="2:26" x14ac:dyDescent="0.35">
      <c r="B14" s="109">
        <v>45688</v>
      </c>
      <c r="C14" s="161"/>
      <c r="D14" s="162"/>
      <c r="E14" s="163"/>
      <c r="F14" s="163"/>
      <c r="G14" s="163"/>
      <c r="H14" s="161"/>
      <c r="I14" s="163">
        <f t="shared" ref="I14" si="4">E14-G14-H14</f>
        <v>0</v>
      </c>
      <c r="T14" s="142">
        <v>45870</v>
      </c>
      <c r="U14" s="175">
        <f>IF(Z14="SIM",X14,IF(W14&gt;=V14,X14,IF(W14&gt;=V13,X13,U13)))</f>
        <v>4.17</v>
      </c>
      <c r="V14" s="77">
        <v>45905</v>
      </c>
      <c r="W14" s="77">
        <v>45905</v>
      </c>
      <c r="X14" s="175">
        <f>IFERROR(VLOOKUP(T14,$B$6:$R$52,8,FALSE),0)</f>
        <v>4.17</v>
      </c>
      <c r="Y14" s="75" t="str">
        <f t="shared" ref="Y14:Y18" si="5">IF(V14&gt;W14,"ATRASO",IF(V14="","NÃO HÁ NF","OK"))</f>
        <v>OK</v>
      </c>
      <c r="Z14" s="75"/>
    </row>
    <row r="15" spans="2:26" x14ac:dyDescent="0.35">
      <c r="B15" s="109">
        <v>45659</v>
      </c>
      <c r="C15" s="122" t="s">
        <v>74</v>
      </c>
      <c r="D15" s="135">
        <f>SUM(D14:D14)</f>
        <v>0</v>
      </c>
      <c r="E15" s="137">
        <f t="shared" ref="E15:H15" si="6">SUM(E14:E14)</f>
        <v>0</v>
      </c>
      <c r="F15" s="136">
        <f t="shared" si="6"/>
        <v>0</v>
      </c>
      <c r="G15" s="136">
        <f t="shared" si="6"/>
        <v>0</v>
      </c>
      <c r="H15" s="131">
        <f t="shared" si="6"/>
        <v>0</v>
      </c>
      <c r="I15" s="137">
        <f>SUM(I12:M14)</f>
        <v>0</v>
      </c>
      <c r="T15" s="109">
        <v>45901</v>
      </c>
      <c r="U15" s="175">
        <f>IF(Z15="SIM",X15,IF(W15&gt;=V15,X15,IF(W15&gt;=V14,X14,U14)))</f>
        <v>4.17</v>
      </c>
      <c r="V15" s="77">
        <v>45968</v>
      </c>
      <c r="W15" s="77">
        <v>45935</v>
      </c>
      <c r="X15" s="175">
        <f>I49</f>
        <v>4.17</v>
      </c>
      <c r="Y15" s="75" t="str">
        <f t="shared" si="5"/>
        <v>ATRASO</v>
      </c>
      <c r="Z15" s="75"/>
    </row>
    <row r="16" spans="2:26" x14ac:dyDescent="0.35">
      <c r="B16" s="170">
        <v>45658</v>
      </c>
      <c r="C16" s="171" t="s">
        <v>75</v>
      </c>
      <c r="D16" s="171"/>
      <c r="E16" s="171"/>
      <c r="F16" s="171"/>
      <c r="G16" s="171"/>
      <c r="H16" s="170"/>
      <c r="I16" s="140">
        <f>IFERROR(I15/D15,0)</f>
        <v>0</v>
      </c>
      <c r="T16" s="75">
        <v>45931</v>
      </c>
      <c r="U16" s="190">
        <f t="shared" ref="U16" si="7">IF(Z14="SIM",X16,IF(W16&gt;=V16,X16,IF(W16&gt;V15,X15,U15)))</f>
        <v>4.17</v>
      </c>
      <c r="V16" s="77" t="s">
        <v>266</v>
      </c>
      <c r="W16" s="77">
        <v>45968</v>
      </c>
      <c r="X16" s="175">
        <f t="shared" ref="X16:X18" si="8">IFERROR(VLOOKUP(T16,$B$6:$R$52,8,FALSE),0)</f>
        <v>0</v>
      </c>
      <c r="Y16" s="75" t="str">
        <f t="shared" si="5"/>
        <v>ATRASO</v>
      </c>
      <c r="Z16" s="75"/>
    </row>
    <row r="17" spans="2:26" x14ac:dyDescent="0.35">
      <c r="B17" s="99">
        <v>45689</v>
      </c>
      <c r="C17" s="161"/>
      <c r="D17" s="162"/>
      <c r="E17" s="163"/>
      <c r="F17" s="163">
        <f>IFERROR(D17*VLOOKUP(B17,'ANP Diesel'!$B$8:$E$20,4,0),0)</f>
        <v>0</v>
      </c>
      <c r="G17" s="163"/>
      <c r="H17" s="161">
        <f>F17*0</f>
        <v>0</v>
      </c>
      <c r="I17" s="163">
        <f t="shared" ref="I17:I18" si="9">E17-G17-H17</f>
        <v>0</v>
      </c>
      <c r="T17" s="75">
        <v>45962</v>
      </c>
      <c r="U17" s="190">
        <f>IF(Z15="SIM",X17,IF(W17&gt;=V17,X17,IF(W17&gt;V16,X16,U16)))</f>
        <v>4.17</v>
      </c>
      <c r="V17" s="77" t="s">
        <v>266</v>
      </c>
      <c r="W17" s="77">
        <v>45996</v>
      </c>
      <c r="X17" s="175">
        <f t="shared" si="8"/>
        <v>0</v>
      </c>
      <c r="Y17" s="75" t="str">
        <f t="shared" si="5"/>
        <v>ATRASO</v>
      </c>
      <c r="Z17" s="75"/>
    </row>
    <row r="18" spans="2:26" x14ac:dyDescent="0.35">
      <c r="B18" s="99">
        <v>45689</v>
      </c>
      <c r="C18" s="161"/>
      <c r="D18" s="162"/>
      <c r="E18" s="163"/>
      <c r="F18" s="163">
        <f>IFERROR(D18*VLOOKUP(B18,'ANP Diesel'!$B$8:$E$20,4,0),0)</f>
        <v>0</v>
      </c>
      <c r="G18" s="163"/>
      <c r="H18" s="161">
        <f>F18*0</f>
        <v>0</v>
      </c>
      <c r="I18" s="163">
        <f t="shared" si="9"/>
        <v>0</v>
      </c>
      <c r="T18" s="230">
        <v>45992</v>
      </c>
      <c r="U18" s="190">
        <f>I58</f>
        <v>4.2300000000000004</v>
      </c>
      <c r="V18" s="77">
        <v>46030</v>
      </c>
      <c r="W18" s="77">
        <v>46030</v>
      </c>
      <c r="X18" s="175">
        <f t="shared" si="8"/>
        <v>0</v>
      </c>
      <c r="Y18" s="75" t="str">
        <f t="shared" si="5"/>
        <v>OK</v>
      </c>
      <c r="Z18" s="75"/>
    </row>
    <row r="19" spans="2:26" x14ac:dyDescent="0.35">
      <c r="B19" s="99">
        <v>45689</v>
      </c>
      <c r="C19" s="161"/>
      <c r="D19" s="162"/>
      <c r="E19" s="163"/>
      <c r="F19" s="163">
        <f>IFERROR(D19*VLOOKUP(B19,'ANP Diesel'!$B$8:$E$20,4,0),0)</f>
        <v>0</v>
      </c>
      <c r="G19" s="163"/>
      <c r="H19" s="161">
        <f>F19*0</f>
        <v>0</v>
      </c>
      <c r="I19" s="163">
        <f t="shared" ref="I19" si="10">E19-G19-H19</f>
        <v>0</v>
      </c>
      <c r="N19" s="68"/>
    </row>
    <row r="20" spans="2:26" x14ac:dyDescent="0.35">
      <c r="B20" s="99">
        <v>45689</v>
      </c>
      <c r="C20" s="122" t="s">
        <v>74</v>
      </c>
      <c r="D20" s="135">
        <f>SUM(D17:D19)</f>
        <v>0</v>
      </c>
      <c r="E20" s="135">
        <f>SUM(E17:E19)</f>
        <v>0</v>
      </c>
      <c r="F20" s="136">
        <f>SUM(F17:F19)</f>
        <v>0</v>
      </c>
      <c r="G20" s="136">
        <f>SUM(G17:G19)</f>
        <v>0</v>
      </c>
      <c r="H20" s="131">
        <f>SUM(H17:H17)</f>
        <v>0</v>
      </c>
      <c r="I20" s="137">
        <f>SUM(I12:R16)</f>
        <v>0</v>
      </c>
      <c r="J20" s="160">
        <v>43832</v>
      </c>
      <c r="K20" s="17">
        <v>43806</v>
      </c>
      <c r="L20" s="22" t="str">
        <f>IF("SIM"=M20,I13,IF(OR(K20&gt;J20,K20=J20),I13,"Fora do Prazo"))</f>
        <v>Fora do Prazo</v>
      </c>
      <c r="M20" s="23"/>
    </row>
    <row r="21" spans="2:26" ht="15" customHeight="1" x14ac:dyDescent="0.35">
      <c r="B21" s="174">
        <v>45689</v>
      </c>
      <c r="C21" s="171" t="s">
        <v>75</v>
      </c>
      <c r="D21" s="171"/>
      <c r="E21" s="171"/>
      <c r="F21" s="171"/>
      <c r="G21" s="171"/>
      <c r="H21" s="170"/>
      <c r="I21" s="140">
        <f>IFERROR(I20/D20,0)</f>
        <v>0</v>
      </c>
    </row>
    <row r="22" spans="2:26" x14ac:dyDescent="0.35">
      <c r="B22" s="109">
        <v>45747</v>
      </c>
      <c r="C22" s="288"/>
      <c r="D22" s="162"/>
      <c r="E22" s="163"/>
      <c r="F22" s="163"/>
      <c r="G22" s="163"/>
      <c r="H22" s="161">
        <f t="shared" ref="H22:H23" si="11">F22*0</f>
        <v>0</v>
      </c>
      <c r="I22" s="163">
        <f t="shared" ref="I22:I23" si="12">E22-G22-H22</f>
        <v>0</v>
      </c>
    </row>
    <row r="23" spans="2:26" x14ac:dyDescent="0.35">
      <c r="B23" s="109">
        <v>45747</v>
      </c>
      <c r="C23" s="161"/>
      <c r="D23" s="162"/>
      <c r="E23" s="163"/>
      <c r="F23" s="163"/>
      <c r="G23" s="163"/>
      <c r="H23" s="161">
        <f t="shared" si="11"/>
        <v>0</v>
      </c>
      <c r="I23" s="163">
        <f t="shared" si="12"/>
        <v>0</v>
      </c>
    </row>
    <row r="24" spans="2:26" x14ac:dyDescent="0.35">
      <c r="B24" s="109">
        <v>45747</v>
      </c>
      <c r="C24" s="122" t="s">
        <v>74</v>
      </c>
      <c r="D24" s="135">
        <f>SUM(D22:D23)</f>
        <v>0</v>
      </c>
      <c r="E24" s="137">
        <f>SUM(E22:E23)</f>
        <v>0</v>
      </c>
      <c r="F24" s="136">
        <f t="shared" ref="F24:H24" si="13">SUM(F22:F23)</f>
        <v>0</v>
      </c>
      <c r="G24" s="136">
        <f>SUM(G22:G23)</f>
        <v>0</v>
      </c>
      <c r="H24" s="131">
        <f t="shared" si="13"/>
        <v>0</v>
      </c>
      <c r="I24" s="137">
        <f>SUM(I22:I23)</f>
        <v>0</v>
      </c>
    </row>
    <row r="25" spans="2:26" x14ac:dyDescent="0.35">
      <c r="B25" s="174">
        <v>45717</v>
      </c>
      <c r="C25" s="171" t="s">
        <v>75</v>
      </c>
      <c r="D25" s="171"/>
      <c r="E25" s="171"/>
      <c r="F25" s="171"/>
      <c r="G25" s="171"/>
      <c r="H25" s="170"/>
      <c r="I25" s="140">
        <f>IFERROR(I24/D24,0)</f>
        <v>0</v>
      </c>
    </row>
    <row r="26" spans="2:26" x14ac:dyDescent="0.35">
      <c r="B26" s="109">
        <v>45777</v>
      </c>
      <c r="C26" s="161" t="s">
        <v>290</v>
      </c>
      <c r="D26" s="162">
        <v>50000</v>
      </c>
      <c r="E26" s="163">
        <v>263182</v>
      </c>
      <c r="F26" s="163">
        <f>IFERROR((D26*VLOOKUP(B26,'ANP Diesel'!$B$9:$E$20,4,0)),0)</f>
        <v>0</v>
      </c>
      <c r="G26" s="163">
        <v>56000</v>
      </c>
      <c r="H26" s="161">
        <f>F26*0</f>
        <v>0</v>
      </c>
      <c r="I26" s="163">
        <f>E26-G26</f>
        <v>207182</v>
      </c>
      <c r="N26" s="287"/>
    </row>
    <row r="27" spans="2:26" x14ac:dyDescent="0.35">
      <c r="B27" s="109">
        <v>45777</v>
      </c>
      <c r="C27" s="161" t="s">
        <v>291</v>
      </c>
      <c r="D27" s="162">
        <v>50000</v>
      </c>
      <c r="E27" s="163">
        <v>263182</v>
      </c>
      <c r="F27" s="163">
        <f>IFERROR((D27*VLOOKUP(B27,'ANP Diesel'!$B$9:$E$20,4,0)),0)</f>
        <v>0</v>
      </c>
      <c r="G27" s="163">
        <v>56000</v>
      </c>
      <c r="H27" s="161">
        <f t="shared" ref="H27:H28" si="14">F27*0</f>
        <v>0</v>
      </c>
      <c r="I27" s="163">
        <f t="shared" ref="I27:I28" si="15">E27-G27</f>
        <v>207182</v>
      </c>
    </row>
    <row r="28" spans="2:26" x14ac:dyDescent="0.35">
      <c r="B28" s="109">
        <v>45777</v>
      </c>
      <c r="C28" s="161" t="s">
        <v>292</v>
      </c>
      <c r="D28" s="162">
        <v>50000</v>
      </c>
      <c r="E28" s="163">
        <v>263182</v>
      </c>
      <c r="F28" s="163">
        <f>IFERROR((D28*VLOOKUP(B28,'ANP Diesel'!$B$9:$E$20,4,0)),0)</f>
        <v>0</v>
      </c>
      <c r="G28" s="163">
        <v>56000</v>
      </c>
      <c r="H28" s="161">
        <f t="shared" si="14"/>
        <v>0</v>
      </c>
      <c r="I28" s="163">
        <f t="shared" si="15"/>
        <v>207182</v>
      </c>
    </row>
    <row r="29" spans="2:26" x14ac:dyDescent="0.35">
      <c r="B29" s="109">
        <v>45777</v>
      </c>
      <c r="C29" s="122" t="s">
        <v>74</v>
      </c>
      <c r="D29" s="135">
        <f>SUM(D26:D28)</f>
        <v>150000</v>
      </c>
      <c r="E29" s="137">
        <f>SUM(E26:E28)</f>
        <v>789546</v>
      </c>
      <c r="F29" s="136">
        <f t="shared" ref="F29:H29" si="16">SUM(F26:F26)</f>
        <v>0</v>
      </c>
      <c r="G29" s="136">
        <f>SUM(G26:G28)</f>
        <v>168000</v>
      </c>
      <c r="H29" s="131">
        <f t="shared" si="16"/>
        <v>0</v>
      </c>
      <c r="I29" s="137">
        <f>SUM(I26:I28)</f>
        <v>621546</v>
      </c>
    </row>
    <row r="30" spans="2:26" x14ac:dyDescent="0.35">
      <c r="B30" s="174">
        <v>45748</v>
      </c>
      <c r="C30" s="171" t="s">
        <v>75</v>
      </c>
      <c r="D30" s="171"/>
      <c r="E30" s="171"/>
      <c r="F30" s="171"/>
      <c r="G30" s="171"/>
      <c r="H30" s="170"/>
      <c r="I30" s="140">
        <f>IFERROR(I29/D29,0)</f>
        <v>4.1436400000000004</v>
      </c>
    </row>
    <row r="31" spans="2:26" x14ac:dyDescent="0.35">
      <c r="B31" s="109">
        <v>45778</v>
      </c>
      <c r="C31" s="161"/>
      <c r="D31" s="162"/>
      <c r="E31" s="163"/>
      <c r="F31" s="163">
        <f>IFERROR(D31*VLOOKUP(B31,'ANP Diesel'!$B$9:$E$20,4,0),0)</f>
        <v>0</v>
      </c>
      <c r="G31" s="163"/>
      <c r="H31" s="107">
        <v>0</v>
      </c>
      <c r="I31" s="163">
        <f>E31-G31</f>
        <v>0</v>
      </c>
    </row>
    <row r="32" spans="2:26" x14ac:dyDescent="0.35">
      <c r="B32" s="109">
        <v>45778</v>
      </c>
      <c r="C32" s="161"/>
      <c r="D32" s="162"/>
      <c r="E32" s="163"/>
      <c r="F32" s="163">
        <f>IFERROR(D32*VLOOKUP(B32,'ANP Diesel'!$B$9:$E$20,4,0),0)</f>
        <v>0</v>
      </c>
      <c r="G32" s="163"/>
      <c r="H32" s="107">
        <v>0</v>
      </c>
      <c r="I32" s="163">
        <f>E32-G32</f>
        <v>0</v>
      </c>
    </row>
    <row r="33" spans="2:13" x14ac:dyDescent="0.35">
      <c r="B33" s="109">
        <v>45778</v>
      </c>
      <c r="C33" s="122" t="s">
        <v>74</v>
      </c>
      <c r="D33" s="135">
        <f>SUM(D31:D32)</f>
        <v>0</v>
      </c>
      <c r="E33" s="135">
        <f>SUM(E31:E32)</f>
        <v>0</v>
      </c>
      <c r="F33" s="136">
        <f>SUM(F31:F32)</f>
        <v>0</v>
      </c>
      <c r="G33" s="136">
        <f>SUM(G31:G32)</f>
        <v>0</v>
      </c>
      <c r="H33" s="131"/>
      <c r="I33" s="137">
        <f>SUM(I31:I32)</f>
        <v>0</v>
      </c>
      <c r="J33" s="160">
        <v>43864</v>
      </c>
      <c r="K33" s="17">
        <v>43838</v>
      </c>
    </row>
    <row r="34" spans="2:13" x14ac:dyDescent="0.35">
      <c r="B34" s="170">
        <v>45778</v>
      </c>
      <c r="C34" s="171" t="s">
        <v>75</v>
      </c>
      <c r="D34" s="171"/>
      <c r="E34" s="171"/>
      <c r="F34" s="171"/>
      <c r="G34" s="171"/>
      <c r="H34" s="170"/>
      <c r="I34" s="140">
        <f>IFERROR(I33/D33,0)</f>
        <v>0</v>
      </c>
      <c r="J34" s="160">
        <v>43864</v>
      </c>
      <c r="K34" s="17">
        <v>43838</v>
      </c>
      <c r="L34" s="41">
        <f>IF("SIM"=M34,#REF!,IF(K34&gt;J34,#REF!,IF(K34&gt;J20,I13,L20)))</f>
        <v>0</v>
      </c>
      <c r="M34" s="42"/>
    </row>
    <row r="35" spans="2:13" x14ac:dyDescent="0.35">
      <c r="B35" s="108">
        <v>45809</v>
      </c>
      <c r="C35" s="76"/>
      <c r="D35" s="133"/>
      <c r="E35" s="134"/>
      <c r="F35" s="134">
        <f>IFERROR(D35*VLOOKUP(B35,'ANP Diesel'!$B$8:$E$20,4,0),0)</f>
        <v>0</v>
      </c>
      <c r="G35" s="134"/>
      <c r="H35" s="107">
        <v>0</v>
      </c>
      <c r="I35" s="97">
        <f t="shared" ref="I35" si="17">E35-G35-H35</f>
        <v>0</v>
      </c>
      <c r="J35" s="243"/>
      <c r="K35" s="243"/>
      <c r="L35" s="42"/>
      <c r="M35" s="42"/>
    </row>
    <row r="36" spans="2:13" x14ac:dyDescent="0.35">
      <c r="B36" s="108">
        <v>45809</v>
      </c>
      <c r="C36" s="76"/>
      <c r="D36" s="133"/>
      <c r="E36" s="134"/>
      <c r="F36" s="134">
        <f>IFERROR(D36*VLOOKUP(B36,'ANP Diesel'!$B$8:$E$20,4,0),0)</f>
        <v>0</v>
      </c>
      <c r="G36" s="134"/>
      <c r="H36" s="107">
        <v>0</v>
      </c>
      <c r="I36" s="97">
        <f t="shared" ref="I36" si="18">E36-G36-H36</f>
        <v>0</v>
      </c>
      <c r="J36" s="243"/>
      <c r="K36" s="243"/>
      <c r="L36" s="42"/>
      <c r="M36" s="42"/>
    </row>
    <row r="37" spans="2:13" x14ac:dyDescent="0.35">
      <c r="B37" s="108">
        <v>45809</v>
      </c>
      <c r="C37" s="122" t="s">
        <v>74</v>
      </c>
      <c r="D37" s="135">
        <f>SUM(D36:D36)</f>
        <v>0</v>
      </c>
      <c r="E37" s="137">
        <f>SUM(E36:E36)</f>
        <v>0</v>
      </c>
      <c r="F37" s="136"/>
      <c r="G37" s="136">
        <f>SUM(G36:G36)</f>
        <v>0</v>
      </c>
      <c r="H37" s="131"/>
      <c r="I37" s="137">
        <f>SUM(I36:I36)</f>
        <v>0</v>
      </c>
      <c r="J37" s="243"/>
      <c r="K37" s="243"/>
      <c r="L37" s="42"/>
      <c r="M37" s="42"/>
    </row>
    <row r="38" spans="2:13" ht="15" customHeight="1" x14ac:dyDescent="0.35">
      <c r="B38" s="170">
        <v>45809</v>
      </c>
      <c r="C38" s="171" t="s">
        <v>75</v>
      </c>
      <c r="D38" s="171"/>
      <c r="E38" s="171"/>
      <c r="F38" s="171"/>
      <c r="G38" s="171"/>
      <c r="H38" s="170"/>
      <c r="I38" s="140">
        <f>IFERROR(I37/D37,0)</f>
        <v>0</v>
      </c>
    </row>
    <row r="39" spans="2:13" x14ac:dyDescent="0.35">
      <c r="B39" s="142">
        <v>45869</v>
      </c>
      <c r="C39" s="161">
        <v>8081</v>
      </c>
      <c r="D39" s="162">
        <v>44000</v>
      </c>
      <c r="E39" s="163">
        <v>227920</v>
      </c>
      <c r="F39" s="163">
        <f>IFERROR(D39*VLOOKUP(B39,'ANP Diesel'!$B$8:$E$20,4,0),0)</f>
        <v>0</v>
      </c>
      <c r="G39" s="163">
        <v>49280</v>
      </c>
      <c r="H39" s="161"/>
      <c r="I39" s="97">
        <f>E39-G39-H39</f>
        <v>178640</v>
      </c>
    </row>
    <row r="40" spans="2:13" x14ac:dyDescent="0.35">
      <c r="B40" s="142">
        <v>45869</v>
      </c>
      <c r="C40" s="161">
        <v>8088</v>
      </c>
      <c r="D40" s="162">
        <v>44000</v>
      </c>
      <c r="E40" s="163">
        <v>227920</v>
      </c>
      <c r="F40" s="163">
        <f>IFERROR(D40*VLOOKUP(B40,'ANP Diesel'!$B$8:$E$20,4,0),0)</f>
        <v>0</v>
      </c>
      <c r="G40" s="163">
        <v>6720</v>
      </c>
      <c r="H40" s="161"/>
      <c r="I40" s="97">
        <f>E40-G40-H40</f>
        <v>221200</v>
      </c>
    </row>
    <row r="41" spans="2:13" x14ac:dyDescent="0.35">
      <c r="B41" s="109">
        <v>45475</v>
      </c>
      <c r="C41" s="122" t="s">
        <v>74</v>
      </c>
      <c r="D41" s="135">
        <f t="shared" ref="D41:I41" si="19">SUM(D39:D40)</f>
        <v>88000</v>
      </c>
      <c r="E41" s="137">
        <f t="shared" si="19"/>
        <v>455840</v>
      </c>
      <c r="F41" s="136">
        <f t="shared" si="19"/>
        <v>0</v>
      </c>
      <c r="G41" s="136">
        <f t="shared" si="19"/>
        <v>56000</v>
      </c>
      <c r="H41" s="136">
        <f t="shared" si="19"/>
        <v>0</v>
      </c>
      <c r="I41" s="137">
        <f t="shared" si="19"/>
        <v>399840</v>
      </c>
    </row>
    <row r="42" spans="2:13" x14ac:dyDescent="0.35">
      <c r="B42" s="170">
        <v>45839</v>
      </c>
      <c r="C42" s="171" t="s">
        <v>75</v>
      </c>
      <c r="D42" s="171"/>
      <c r="E42" s="171"/>
      <c r="F42" s="171"/>
      <c r="G42" s="171"/>
      <c r="H42" s="170"/>
      <c r="I42" s="140">
        <f>IFERROR(I41/D41,0)</f>
        <v>4.5436363636363639</v>
      </c>
    </row>
    <row r="43" spans="2:13" x14ac:dyDescent="0.35">
      <c r="B43" s="142">
        <v>45871</v>
      </c>
      <c r="C43" s="107">
        <v>8475</v>
      </c>
      <c r="D43" s="95">
        <v>50000</v>
      </c>
      <c r="E43" s="97">
        <v>264500</v>
      </c>
      <c r="F43" s="97">
        <v>0</v>
      </c>
      <c r="G43" s="134">
        <v>56000</v>
      </c>
      <c r="H43" s="107">
        <v>0</v>
      </c>
      <c r="I43" s="97">
        <f>E43-G43-H43</f>
        <v>208500</v>
      </c>
    </row>
    <row r="44" spans="2:13" x14ac:dyDescent="0.35">
      <c r="B44" s="142">
        <v>45871</v>
      </c>
      <c r="C44" s="107"/>
      <c r="D44" s="95"/>
      <c r="E44" s="97"/>
      <c r="F44" s="97"/>
      <c r="G44" s="134"/>
      <c r="H44" s="107">
        <v>0</v>
      </c>
      <c r="I44" s="97">
        <f>E44-G44-H44</f>
        <v>0</v>
      </c>
    </row>
    <row r="45" spans="2:13" x14ac:dyDescent="0.35">
      <c r="B45" s="142">
        <v>45871</v>
      </c>
      <c r="C45" s="122" t="s">
        <v>74</v>
      </c>
      <c r="D45" s="135">
        <f>SUM(D43:D43)</f>
        <v>50000</v>
      </c>
      <c r="E45" s="137">
        <f>SUM(E43:E43)</f>
        <v>264500</v>
      </c>
      <c r="F45" s="136"/>
      <c r="G45" s="136">
        <f>SUM(G43:G44)</f>
        <v>56000</v>
      </c>
      <c r="H45" s="131"/>
      <c r="I45" s="137">
        <f>SUM(I43:I43)</f>
        <v>208500</v>
      </c>
    </row>
    <row r="46" spans="2:13" x14ac:dyDescent="0.35">
      <c r="B46" s="170">
        <v>45870</v>
      </c>
      <c r="C46" s="171" t="s">
        <v>75</v>
      </c>
      <c r="D46" s="171"/>
      <c r="E46" s="171"/>
      <c r="F46" s="171"/>
      <c r="G46" s="171"/>
      <c r="H46" s="170"/>
      <c r="I46" s="140">
        <f>IFERROR(I45/D45,0)</f>
        <v>4.17</v>
      </c>
    </row>
    <row r="47" spans="2:13" x14ac:dyDescent="0.35">
      <c r="B47" s="252">
        <v>45901</v>
      </c>
      <c r="C47" s="253">
        <v>163027</v>
      </c>
      <c r="D47" s="95">
        <v>50000</v>
      </c>
      <c r="E47" s="97">
        <v>264500</v>
      </c>
      <c r="F47" s="97">
        <v>0</v>
      </c>
      <c r="G47" s="134">
        <v>56000</v>
      </c>
      <c r="H47" s="107">
        <v>0</v>
      </c>
      <c r="I47" s="97">
        <f>E47-G47-H47</f>
        <v>208500</v>
      </c>
      <c r="J47" s="160">
        <v>43893</v>
      </c>
      <c r="K47" s="17">
        <v>43868</v>
      </c>
    </row>
    <row r="48" spans="2:13" x14ac:dyDescent="0.35">
      <c r="B48" s="108">
        <v>45901</v>
      </c>
      <c r="C48" s="122" t="s">
        <v>74</v>
      </c>
      <c r="D48" s="135">
        <f>SUM(D47:D47)</f>
        <v>50000</v>
      </c>
      <c r="E48" s="137">
        <f>SUM(E47:E47)</f>
        <v>264500</v>
      </c>
      <c r="F48" s="136">
        <f>SUM(F47:F47)</f>
        <v>0</v>
      </c>
      <c r="G48" s="136">
        <f>SUM(G47:G47)</f>
        <v>56000</v>
      </c>
      <c r="H48" s="131"/>
      <c r="I48" s="137">
        <f>SUM(I47:I47)</f>
        <v>208500</v>
      </c>
    </row>
    <row r="49" spans="2:13" x14ac:dyDescent="0.35">
      <c r="B49" s="251">
        <v>45902</v>
      </c>
      <c r="C49" s="171" t="s">
        <v>75</v>
      </c>
      <c r="D49" s="171"/>
      <c r="E49" s="171"/>
      <c r="F49" s="171"/>
      <c r="G49" s="171"/>
      <c r="H49" s="170"/>
      <c r="I49" s="140">
        <f>IFERROR(I48/D48,0)</f>
        <v>4.17</v>
      </c>
    </row>
    <row r="50" spans="2:13" x14ac:dyDescent="0.35">
      <c r="B50" s="109">
        <v>45932</v>
      </c>
      <c r="C50" s="107"/>
      <c r="D50" s="95"/>
      <c r="E50" s="191"/>
      <c r="F50" s="97"/>
      <c r="G50" s="191"/>
      <c r="H50" s="107">
        <v>0</v>
      </c>
      <c r="I50" s="97">
        <f t="shared" ref="I50" si="20">E50-G50-H50</f>
        <v>0</v>
      </c>
    </row>
    <row r="51" spans="2:13" x14ac:dyDescent="0.35">
      <c r="B51" s="109">
        <v>45932</v>
      </c>
      <c r="C51" s="122" t="s">
        <v>74</v>
      </c>
      <c r="D51" s="135">
        <f>SUM(D50:D50)</f>
        <v>0</v>
      </c>
      <c r="E51" s="137">
        <f>SUM(E50:E50)</f>
        <v>0</v>
      </c>
      <c r="F51" s="136"/>
      <c r="G51" s="136"/>
      <c r="H51" s="131"/>
      <c r="I51" s="137">
        <f>SUM(I50:I50)</f>
        <v>0</v>
      </c>
    </row>
    <row r="52" spans="2:13" x14ac:dyDescent="0.35">
      <c r="B52" s="174">
        <v>45931</v>
      </c>
      <c r="C52" s="171" t="s">
        <v>75</v>
      </c>
      <c r="D52" s="171"/>
      <c r="E52" s="171"/>
      <c r="F52" s="171"/>
      <c r="G52" s="171"/>
      <c r="H52" s="170"/>
      <c r="I52" s="140">
        <f>IFERROR(I51/D51,0)</f>
        <v>0</v>
      </c>
    </row>
    <row r="53" spans="2:13" x14ac:dyDescent="0.35">
      <c r="B53" s="109">
        <v>45991</v>
      </c>
      <c r="C53" s="107"/>
      <c r="D53" s="95"/>
      <c r="E53" s="97"/>
      <c r="F53" s="97"/>
      <c r="G53" s="191"/>
      <c r="H53" s="107">
        <v>0</v>
      </c>
      <c r="I53" s="97">
        <f t="shared" ref="I53" si="21">E53-G53-H53</f>
        <v>0</v>
      </c>
    </row>
    <row r="54" spans="2:13" x14ac:dyDescent="0.35">
      <c r="B54" s="109">
        <v>45963</v>
      </c>
      <c r="C54" s="122" t="s">
        <v>74</v>
      </c>
      <c r="D54" s="135">
        <f>SUM(D53:D53)</f>
        <v>0</v>
      </c>
      <c r="E54" s="137">
        <f>SUM(E53:E53)</f>
        <v>0</v>
      </c>
      <c r="F54" s="136"/>
      <c r="G54" s="136">
        <f>SUM(G53:G53)</f>
        <v>0</v>
      </c>
      <c r="H54" s="131"/>
      <c r="I54" s="137">
        <f>SUM(I53:I53)</f>
        <v>0</v>
      </c>
      <c r="J54" s="17">
        <v>43901</v>
      </c>
      <c r="K54" s="17">
        <v>43896</v>
      </c>
    </row>
    <row r="55" spans="2:13" x14ac:dyDescent="0.35">
      <c r="B55" s="170">
        <v>45962</v>
      </c>
      <c r="C55" s="171" t="s">
        <v>75</v>
      </c>
      <c r="D55" s="171"/>
      <c r="E55" s="171"/>
      <c r="F55" s="171"/>
      <c r="G55" s="171"/>
      <c r="H55" s="170"/>
      <c r="I55" s="140">
        <f>IFERROR(I54/D54,0)</f>
        <v>0</v>
      </c>
      <c r="J55" s="17">
        <v>43901</v>
      </c>
      <c r="K55" s="17">
        <v>43896</v>
      </c>
      <c r="L55" s="41" t="e">
        <f>IF("SIM"=M55,I21,IF(K55&gt;J55,I21,IF(K55&gt;#REF!,I16,#REF!)))</f>
        <v>#REF!</v>
      </c>
      <c r="M55" s="42"/>
    </row>
    <row r="56" spans="2:13" ht="15" customHeight="1" x14ac:dyDescent="0.35">
      <c r="B56" s="108">
        <v>45992</v>
      </c>
      <c r="C56" s="107">
        <v>167402</v>
      </c>
      <c r="D56" s="95">
        <v>60000</v>
      </c>
      <c r="E56" s="97">
        <v>321000</v>
      </c>
      <c r="F56" s="97"/>
      <c r="G56" s="97">
        <v>67200</v>
      </c>
      <c r="H56" s="107">
        <v>0</v>
      </c>
      <c r="I56" s="97">
        <f t="shared" ref="I56" si="22">E56-G56-H56</f>
        <v>253800</v>
      </c>
    </row>
    <row r="57" spans="2:13" ht="15" customHeight="1" x14ac:dyDescent="0.35">
      <c r="B57" s="109">
        <v>45993</v>
      </c>
      <c r="C57" s="122" t="s">
        <v>74</v>
      </c>
      <c r="D57" s="135">
        <f>SUM(D56:D56)</f>
        <v>60000</v>
      </c>
      <c r="E57" s="137">
        <f>SUM(E56:E56)</f>
        <v>321000</v>
      </c>
      <c r="F57" s="136"/>
      <c r="G57" s="136">
        <f>SUM(G56:G56)</f>
        <v>67200</v>
      </c>
      <c r="H57" s="131"/>
      <c r="I57" s="137">
        <f>SUM(I56:I56)</f>
        <v>253800</v>
      </c>
    </row>
    <row r="58" spans="2:13" ht="15" customHeight="1" x14ac:dyDescent="0.35">
      <c r="B58" s="231">
        <v>45992</v>
      </c>
      <c r="C58" s="171" t="s">
        <v>75</v>
      </c>
      <c r="D58" s="171"/>
      <c r="E58" s="171"/>
      <c r="F58" s="171"/>
      <c r="G58" s="171"/>
      <c r="H58" s="170"/>
      <c r="I58" s="140">
        <f>IFERROR(I57/D57,0)</f>
        <v>4.2300000000000004</v>
      </c>
    </row>
    <row r="59" spans="2:13" ht="15" customHeight="1" x14ac:dyDescent="0.35">
      <c r="B59" s="5"/>
    </row>
    <row r="60" spans="2:13" ht="15" customHeight="1" x14ac:dyDescent="0.35">
      <c r="B60" s="317" t="s">
        <v>311</v>
      </c>
    </row>
    <row r="61" spans="2:13" ht="15" customHeight="1" x14ac:dyDescent="0.35">
      <c r="B61" s="5"/>
    </row>
    <row r="62" spans="2:13" ht="15" customHeight="1" x14ac:dyDescent="0.35">
      <c r="B62" s="5"/>
    </row>
    <row r="63" spans="2:13" ht="15" customHeight="1" x14ac:dyDescent="0.35">
      <c r="B63" s="5"/>
    </row>
    <row r="64" spans="2:13" ht="15" customHeight="1" x14ac:dyDescent="0.35">
      <c r="B64" s="5"/>
    </row>
    <row r="65" spans="2:13" ht="15" customHeight="1" x14ac:dyDescent="0.35">
      <c r="B65" s="5"/>
    </row>
    <row r="66" spans="2:13" ht="15" customHeight="1" x14ac:dyDescent="0.35">
      <c r="B66" s="5"/>
    </row>
    <row r="67" spans="2:13" ht="15" customHeight="1" x14ac:dyDescent="0.35">
      <c r="B67" s="5"/>
    </row>
    <row r="68" spans="2:13" ht="15" customHeight="1" x14ac:dyDescent="0.35">
      <c r="B68" s="5"/>
    </row>
    <row r="69" spans="2:13" ht="15" customHeight="1" x14ac:dyDescent="0.35">
      <c r="B69" s="5"/>
    </row>
    <row r="70" spans="2:13" x14ac:dyDescent="0.35">
      <c r="B70" s="5"/>
      <c r="J70" s="17">
        <v>43927</v>
      </c>
      <c r="K70" s="17">
        <v>43928</v>
      </c>
    </row>
    <row r="71" spans="2:13" x14ac:dyDescent="0.35">
      <c r="B71" s="5"/>
      <c r="J71" s="17">
        <v>43927</v>
      </c>
      <c r="K71" s="17">
        <v>43928</v>
      </c>
      <c r="L71" s="41">
        <f>IF("SIM"=M71,I25,IF(K71&gt;J71,I25,IF(K71&gt;J55,I21,L55)))</f>
        <v>0</v>
      </c>
      <c r="M71" s="42"/>
    </row>
    <row r="72" spans="2:13" x14ac:dyDescent="0.35">
      <c r="B72" s="5"/>
    </row>
    <row r="73" spans="2:13" x14ac:dyDescent="0.35">
      <c r="B73" s="5"/>
    </row>
    <row r="74" spans="2:13" x14ac:dyDescent="0.35">
      <c r="B74" s="5"/>
    </row>
    <row r="75" spans="2:13" x14ac:dyDescent="0.35">
      <c r="B75" s="5"/>
    </row>
    <row r="76" spans="2:13" x14ac:dyDescent="0.35">
      <c r="B76" s="5"/>
    </row>
    <row r="77" spans="2:13" x14ac:dyDescent="0.35">
      <c r="B77" s="5"/>
    </row>
    <row r="78" spans="2:13" x14ac:dyDescent="0.35">
      <c r="B78" s="5"/>
    </row>
    <row r="79" spans="2:13" x14ac:dyDescent="0.35">
      <c r="B79" s="5"/>
    </row>
    <row r="80" spans="2:13" x14ac:dyDescent="0.35">
      <c r="B80" s="5"/>
      <c r="J80" s="17">
        <v>43958</v>
      </c>
      <c r="K80" s="17">
        <v>43959</v>
      </c>
    </row>
    <row r="81" spans="2:13" x14ac:dyDescent="0.35">
      <c r="B81" s="5"/>
      <c r="J81" s="17">
        <v>43958</v>
      </c>
      <c r="K81" s="17">
        <v>43959</v>
      </c>
      <c r="L81" s="41">
        <f>IF("SIM"=M81,I30,IF(K81&gt;J81,I30,IF(K81&gt;J71,I25,L71)))</f>
        <v>4.1436400000000004</v>
      </c>
      <c r="M81" s="42"/>
    </row>
    <row r="82" spans="2:13" x14ac:dyDescent="0.35">
      <c r="B82" s="5"/>
    </row>
    <row r="83" spans="2:13" x14ac:dyDescent="0.35">
      <c r="B83" s="5"/>
      <c r="J83" s="17" t="s">
        <v>122</v>
      </c>
      <c r="K83" s="17">
        <v>43989</v>
      </c>
    </row>
    <row r="84" spans="2:13" x14ac:dyDescent="0.35">
      <c r="B84" s="5"/>
      <c r="J84" s="17" t="s">
        <v>122</v>
      </c>
      <c r="K84" s="17">
        <v>43989</v>
      </c>
      <c r="L84" s="41">
        <f>IF("SIM"=M84,I34,IF(K84&gt;J84,I34,IF(K84&gt;J81,I30,L81)))</f>
        <v>4.1436400000000004</v>
      </c>
      <c r="M84" s="42"/>
    </row>
    <row r="85" spans="2:13" x14ac:dyDescent="0.35">
      <c r="B85" s="5"/>
    </row>
    <row r="86" spans="2:13" x14ac:dyDescent="0.35">
      <c r="B86" s="5"/>
      <c r="J86" s="17" t="s">
        <v>122</v>
      </c>
      <c r="K86" s="17">
        <v>44019</v>
      </c>
    </row>
    <row r="87" spans="2:13" x14ac:dyDescent="0.35">
      <c r="B87" s="5"/>
      <c r="J87" s="17" t="s">
        <v>122</v>
      </c>
      <c r="K87" s="17">
        <v>44019</v>
      </c>
      <c r="L87" s="41">
        <f>IF("SIM"=M87,I38,IF(K87&gt;J87,I38,IF(K87&gt;J84,I34,L84)))</f>
        <v>4.1436400000000004</v>
      </c>
      <c r="M87" s="42"/>
    </row>
    <row r="88" spans="2:13" x14ac:dyDescent="0.35">
      <c r="B88" s="5"/>
    </row>
    <row r="89" spans="2:13" x14ac:dyDescent="0.35">
      <c r="B89" s="5"/>
      <c r="J89" s="17" t="s">
        <v>122</v>
      </c>
      <c r="K89" s="17">
        <v>44050</v>
      </c>
    </row>
    <row r="90" spans="2:13" x14ac:dyDescent="0.35">
      <c r="B90" s="5"/>
      <c r="J90" s="17" t="s">
        <v>122</v>
      </c>
      <c r="K90" s="17">
        <v>44050</v>
      </c>
      <c r="L90" s="41">
        <f>IF("SIM"=M90,I42,IF(K90&gt;J90,I42,IF(K90&gt;J87,I38,L87)))</f>
        <v>4.1436400000000004</v>
      </c>
      <c r="M90" s="42"/>
    </row>
    <row r="91" spans="2:13" ht="15" customHeight="1" x14ac:dyDescent="0.35">
      <c r="B91" s="5"/>
    </row>
    <row r="92" spans="2:13" x14ac:dyDescent="0.35">
      <c r="B92" s="5"/>
      <c r="J92" s="17" t="s">
        <v>122</v>
      </c>
      <c r="K92" s="17">
        <v>44082</v>
      </c>
    </row>
    <row r="93" spans="2:13" x14ac:dyDescent="0.35">
      <c r="B93" s="5"/>
      <c r="J93" s="17" t="s">
        <v>122</v>
      </c>
      <c r="K93" s="17">
        <v>44082</v>
      </c>
      <c r="L93" s="41">
        <f>IF("SIM"=M93,I46,IF(K93&gt;J93,I46,IF(K93&gt;J90,I42,L90)))</f>
        <v>4.1436400000000004</v>
      </c>
      <c r="M93" s="42"/>
    </row>
    <row r="94" spans="2:13" x14ac:dyDescent="0.35">
      <c r="B94" s="5"/>
    </row>
    <row r="95" spans="2:13" x14ac:dyDescent="0.35">
      <c r="B95" s="5"/>
      <c r="J95" s="17" t="s">
        <v>122</v>
      </c>
      <c r="K95" s="17">
        <v>44111</v>
      </c>
    </row>
    <row r="96" spans="2:13" x14ac:dyDescent="0.35">
      <c r="B96" s="5"/>
      <c r="J96" s="17" t="s">
        <v>122</v>
      </c>
      <c r="K96" s="17">
        <v>44111</v>
      </c>
      <c r="L96" s="41">
        <f>IF("SIM"=M96,I49,IF(K96&gt;J96,I49,IF(K96&gt;J93,I46,L93)))</f>
        <v>4.1436400000000004</v>
      </c>
      <c r="M96" s="42"/>
    </row>
    <row r="97" spans="2:13" x14ac:dyDescent="0.35">
      <c r="B97" s="5"/>
    </row>
    <row r="98" spans="2:13" x14ac:dyDescent="0.35">
      <c r="B98" s="5"/>
      <c r="J98" s="17" t="s">
        <v>122</v>
      </c>
      <c r="K98" s="17">
        <v>44144</v>
      </c>
    </row>
    <row r="99" spans="2:13" x14ac:dyDescent="0.35">
      <c r="B99" s="5"/>
      <c r="J99" s="17" t="s">
        <v>122</v>
      </c>
      <c r="K99" s="17">
        <v>44144</v>
      </c>
      <c r="L99" s="41">
        <f>IF("SIM"=M99,I52,IF(K99&gt;J99,I52,IF(K99&gt;J96,I49,L96)))</f>
        <v>4.1436400000000004</v>
      </c>
      <c r="M99" s="42"/>
    </row>
    <row r="100" spans="2:13" x14ac:dyDescent="0.35">
      <c r="B100" s="5"/>
    </row>
    <row r="101" spans="2:13" x14ac:dyDescent="0.35">
      <c r="B101" s="5"/>
      <c r="J101" s="17" t="s">
        <v>122</v>
      </c>
      <c r="K101" s="17">
        <v>44172</v>
      </c>
    </row>
    <row r="102" spans="2:13" x14ac:dyDescent="0.35">
      <c r="B102" s="5"/>
      <c r="J102" s="17" t="s">
        <v>122</v>
      </c>
      <c r="K102" s="17">
        <v>44172</v>
      </c>
      <c r="L102" s="41">
        <f>IF("SIM"=M102,I55,IF(K102&gt;J102,I55,IF(K102&gt;J99,I52,L99)))</f>
        <v>4.1436400000000004</v>
      </c>
      <c r="M102" s="42"/>
    </row>
    <row r="103" spans="2:13" x14ac:dyDescent="0.35">
      <c r="B103" s="5"/>
    </row>
    <row r="104" spans="2:13" x14ac:dyDescent="0.35">
      <c r="B104" s="5"/>
      <c r="J104" s="17" t="s">
        <v>122</v>
      </c>
      <c r="K104" s="17">
        <v>44204</v>
      </c>
    </row>
    <row r="105" spans="2:13" x14ac:dyDescent="0.35">
      <c r="B105" s="5"/>
      <c r="J105" s="17" t="s">
        <v>122</v>
      </c>
      <c r="K105" s="17">
        <v>44204</v>
      </c>
      <c r="L105" s="41">
        <f>IF("SIM"=M105,I58,IF(K105&gt;J105,I58,IF(K105&gt;J102,I55,L102)))</f>
        <v>4.1436400000000004</v>
      </c>
      <c r="M105" s="42"/>
    </row>
    <row r="106" spans="2:13" ht="15" customHeight="1" x14ac:dyDescent="0.35">
      <c r="B106" s="5"/>
    </row>
    <row r="107" spans="2:13" x14ac:dyDescent="0.35">
      <c r="B107" s="5"/>
    </row>
    <row r="108" spans="2:13" x14ac:dyDescent="0.35">
      <c r="B108" s="5"/>
    </row>
    <row r="109" spans="2:13" x14ac:dyDescent="0.35">
      <c r="B109" s="5"/>
    </row>
    <row r="110" spans="2:13" x14ac:dyDescent="0.35">
      <c r="B110" s="5"/>
    </row>
    <row r="111" spans="2:13" x14ac:dyDescent="0.35">
      <c r="B111" s="5"/>
    </row>
    <row r="112" spans="2:13" x14ac:dyDescent="0.35">
      <c r="B112" s="5"/>
    </row>
    <row r="121" ht="15" customHeight="1" x14ac:dyDescent="0.35"/>
    <row r="136" ht="15" customHeight="1" x14ac:dyDescent="0.35"/>
    <row r="151" ht="15" customHeight="1" x14ac:dyDescent="0.35"/>
  </sheetData>
  <mergeCells count="2">
    <mergeCell ref="B1:Z2"/>
    <mergeCell ref="G4:I4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X8 F29 H29 X15" formula="1"/>
    <ignoredError sqref="C26:C28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L43"/>
  <sheetViews>
    <sheetView showGridLines="0" topLeftCell="A28" workbookViewId="0">
      <selection activeCell="I25" sqref="I25"/>
    </sheetView>
  </sheetViews>
  <sheetFormatPr defaultRowHeight="14.5" x14ac:dyDescent="0.35"/>
  <cols>
    <col min="2" max="2" width="10.7265625" style="7" customWidth="1"/>
    <col min="3" max="3" width="18.81640625" style="30" customWidth="1"/>
    <col min="4" max="4" width="11" style="31" customWidth="1"/>
    <col min="5" max="5" width="11.453125" style="28" customWidth="1"/>
  </cols>
  <sheetData>
    <row r="1" spans="1:12" ht="15" customHeight="1" x14ac:dyDescent="0.35">
      <c r="A1" s="396" t="s">
        <v>179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</row>
    <row r="2" spans="1:12" ht="15" customHeight="1" x14ac:dyDescent="0.3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</row>
    <row r="3" spans="1:12" ht="18.75" customHeight="1" x14ac:dyDescent="0.35">
      <c r="A3" s="396"/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</row>
    <row r="5" spans="1:12" s="8" customFormat="1" x14ac:dyDescent="0.35">
      <c r="B5" s="21" t="s">
        <v>59</v>
      </c>
      <c r="C5" s="29"/>
      <c r="D5" s="55">
        <v>2554857.64</v>
      </c>
      <c r="E5" s="25"/>
    </row>
    <row r="6" spans="1:12" s="3" customFormat="1" ht="33.75" customHeight="1" x14ac:dyDescent="0.35">
      <c r="B6" s="397" t="s">
        <v>178</v>
      </c>
      <c r="C6" s="397"/>
      <c r="D6" s="397"/>
      <c r="E6" s="397"/>
    </row>
    <row r="7" spans="1:12" s="3" customFormat="1" ht="58" x14ac:dyDescent="0.35">
      <c r="B7" s="46" t="s">
        <v>76</v>
      </c>
      <c r="C7" s="45" t="s">
        <v>146</v>
      </c>
      <c r="D7" s="45" t="s">
        <v>58</v>
      </c>
      <c r="E7" s="49" t="s">
        <v>77</v>
      </c>
    </row>
    <row r="8" spans="1:12" x14ac:dyDescent="0.35">
      <c r="B8" s="50">
        <v>43131</v>
      </c>
      <c r="C8" s="47">
        <v>100000</v>
      </c>
      <c r="D8" s="51">
        <v>127354.1</v>
      </c>
      <c r="E8" s="48">
        <f>C8-D8</f>
        <v>-27354.100000000006</v>
      </c>
    </row>
    <row r="9" spans="1:12" x14ac:dyDescent="0.35">
      <c r="B9" s="50">
        <v>43159</v>
      </c>
      <c r="C9" s="47">
        <v>100000</v>
      </c>
      <c r="D9" s="51">
        <v>133666</v>
      </c>
      <c r="E9" s="48">
        <f t="shared" ref="E9:E18" si="0">E8+C9-D9</f>
        <v>-61020.100000000006</v>
      </c>
    </row>
    <row r="10" spans="1:12" x14ac:dyDescent="0.35">
      <c r="B10" s="50">
        <v>43190</v>
      </c>
      <c r="C10" s="47">
        <v>100000</v>
      </c>
      <c r="D10" s="51">
        <v>129109</v>
      </c>
      <c r="E10" s="26">
        <f t="shared" si="0"/>
        <v>-90129.1</v>
      </c>
    </row>
    <row r="11" spans="1:12" x14ac:dyDescent="0.35">
      <c r="B11" s="50">
        <v>43220</v>
      </c>
      <c r="C11" s="47">
        <v>100000</v>
      </c>
      <c r="D11" s="51">
        <v>106028</v>
      </c>
      <c r="E11" s="48">
        <f t="shared" si="0"/>
        <v>-96157.1</v>
      </c>
    </row>
    <row r="12" spans="1:12" x14ac:dyDescent="0.35">
      <c r="B12" s="50">
        <v>43251</v>
      </c>
      <c r="C12" s="47">
        <v>100000</v>
      </c>
      <c r="D12" s="51">
        <v>116238</v>
      </c>
      <c r="E12" s="48">
        <f t="shared" si="0"/>
        <v>-112395.1</v>
      </c>
    </row>
    <row r="13" spans="1:12" x14ac:dyDescent="0.35">
      <c r="B13" s="50">
        <v>43281</v>
      </c>
      <c r="C13" s="47">
        <v>100000</v>
      </c>
      <c r="D13" s="51">
        <v>104799</v>
      </c>
      <c r="E13" s="26">
        <f t="shared" si="0"/>
        <v>-117194.1</v>
      </c>
    </row>
    <row r="14" spans="1:12" x14ac:dyDescent="0.35">
      <c r="B14" s="50">
        <v>43312</v>
      </c>
      <c r="C14" s="47">
        <v>100000</v>
      </c>
      <c r="D14" s="51">
        <v>107830</v>
      </c>
      <c r="E14" s="26">
        <f t="shared" si="0"/>
        <v>-125024.1</v>
      </c>
    </row>
    <row r="15" spans="1:12" x14ac:dyDescent="0.35">
      <c r="B15" s="50">
        <v>43343</v>
      </c>
      <c r="C15" s="47">
        <v>100000</v>
      </c>
      <c r="D15" s="51">
        <v>132856</v>
      </c>
      <c r="E15" s="26">
        <f t="shared" si="0"/>
        <v>-157880.1</v>
      </c>
    </row>
    <row r="16" spans="1:12" x14ac:dyDescent="0.35">
      <c r="B16" s="50">
        <v>43373</v>
      </c>
      <c r="C16" s="47">
        <v>100000</v>
      </c>
      <c r="D16" s="51">
        <v>108273</v>
      </c>
      <c r="E16" s="26">
        <f t="shared" si="0"/>
        <v>-166153.1</v>
      </c>
    </row>
    <row r="17" spans="2:5" x14ac:dyDescent="0.35">
      <c r="B17" s="50">
        <v>43404</v>
      </c>
      <c r="C17" s="47">
        <v>100000</v>
      </c>
      <c r="D17" s="51">
        <v>122587</v>
      </c>
      <c r="E17" s="26">
        <f t="shared" si="0"/>
        <v>-188740.1</v>
      </c>
    </row>
    <row r="18" spans="2:5" x14ac:dyDescent="0.35">
      <c r="B18" s="50">
        <v>43434</v>
      </c>
      <c r="C18" s="47">
        <v>100000</v>
      </c>
      <c r="D18" s="51">
        <v>121345</v>
      </c>
      <c r="E18" s="26">
        <f t="shared" si="0"/>
        <v>-210085.1</v>
      </c>
    </row>
    <row r="19" spans="2:5" x14ac:dyDescent="0.35">
      <c r="B19" s="50">
        <v>43465</v>
      </c>
      <c r="C19" s="47">
        <v>100000</v>
      </c>
      <c r="D19" s="51">
        <v>47451</v>
      </c>
      <c r="E19" s="52">
        <f>IF(E18+C19-D19&lt;0,0,E18+C19-D19)</f>
        <v>0</v>
      </c>
    </row>
    <row r="20" spans="2:5" x14ac:dyDescent="0.35">
      <c r="B20" s="50">
        <v>43496</v>
      </c>
      <c r="C20" s="47">
        <v>100000</v>
      </c>
      <c r="D20" s="51">
        <v>0</v>
      </c>
      <c r="E20" s="26">
        <f>C20-D20</f>
        <v>100000</v>
      </c>
    </row>
    <row r="21" spans="2:5" x14ac:dyDescent="0.35">
      <c r="B21" s="50">
        <v>43524</v>
      </c>
      <c r="C21" s="47">
        <v>100000</v>
      </c>
      <c r="D21" s="51">
        <v>0</v>
      </c>
      <c r="E21" s="26">
        <f t="shared" ref="E21:E30" si="1">E20+C21-D21</f>
        <v>200000</v>
      </c>
    </row>
    <row r="22" spans="2:5" x14ac:dyDescent="0.35">
      <c r="B22" s="50">
        <v>43555</v>
      </c>
      <c r="C22" s="47">
        <v>100000</v>
      </c>
      <c r="D22" s="51">
        <v>1624</v>
      </c>
      <c r="E22" s="26">
        <f t="shared" si="1"/>
        <v>298376</v>
      </c>
    </row>
    <row r="23" spans="2:5" x14ac:dyDescent="0.35">
      <c r="B23" s="50">
        <v>43585</v>
      </c>
      <c r="C23" s="47">
        <v>100000</v>
      </c>
      <c r="D23" s="51">
        <v>112473</v>
      </c>
      <c r="E23" s="26">
        <f t="shared" si="1"/>
        <v>285903</v>
      </c>
    </row>
    <row r="24" spans="2:5" x14ac:dyDescent="0.35">
      <c r="B24" s="50">
        <v>43616</v>
      </c>
      <c r="C24" s="47">
        <v>100000</v>
      </c>
      <c r="D24" s="51">
        <v>169527.43999999994</v>
      </c>
      <c r="E24" s="26">
        <f t="shared" si="1"/>
        <v>216375.56000000006</v>
      </c>
    </row>
    <row r="25" spans="2:5" x14ac:dyDescent="0.35">
      <c r="B25" s="50">
        <v>43646</v>
      </c>
      <c r="C25" s="47">
        <v>100000</v>
      </c>
      <c r="D25" s="51">
        <v>178726</v>
      </c>
      <c r="E25" s="48">
        <f t="shared" si="1"/>
        <v>137649.56000000006</v>
      </c>
    </row>
    <row r="26" spans="2:5" x14ac:dyDescent="0.35">
      <c r="B26" s="50">
        <v>43677</v>
      </c>
      <c r="C26" s="47">
        <v>100000</v>
      </c>
      <c r="D26" s="51">
        <v>154606</v>
      </c>
      <c r="E26" s="26">
        <f t="shared" si="1"/>
        <v>83043.560000000056</v>
      </c>
    </row>
    <row r="27" spans="2:5" x14ac:dyDescent="0.35">
      <c r="B27" s="50">
        <v>43708</v>
      </c>
      <c r="C27" s="47">
        <v>100000</v>
      </c>
      <c r="D27" s="51">
        <v>174506</v>
      </c>
      <c r="E27" s="26">
        <f t="shared" si="1"/>
        <v>8537.5600000000559</v>
      </c>
    </row>
    <row r="28" spans="2:5" x14ac:dyDescent="0.35">
      <c r="B28" s="50">
        <v>43738</v>
      </c>
      <c r="C28" s="47">
        <v>100000</v>
      </c>
      <c r="D28" s="51">
        <v>171100</v>
      </c>
      <c r="E28" s="26">
        <f t="shared" si="1"/>
        <v>-62562.439999999944</v>
      </c>
    </row>
    <row r="29" spans="2:5" x14ac:dyDescent="0.35">
      <c r="B29" s="50">
        <v>43769</v>
      </c>
      <c r="C29" s="47">
        <v>100000</v>
      </c>
      <c r="D29" s="51">
        <v>133619</v>
      </c>
      <c r="E29" s="26">
        <f t="shared" si="1"/>
        <v>-96181.439999999944</v>
      </c>
    </row>
    <row r="30" spans="2:5" x14ac:dyDescent="0.35">
      <c r="B30" s="50">
        <v>43799</v>
      </c>
      <c r="C30" s="47">
        <v>100000</v>
      </c>
      <c r="D30" s="51">
        <v>173125</v>
      </c>
      <c r="E30" s="26">
        <f t="shared" si="1"/>
        <v>-169306.43999999994</v>
      </c>
    </row>
    <row r="31" spans="2:5" x14ac:dyDescent="0.35">
      <c r="B31" s="50">
        <v>43830</v>
      </c>
      <c r="C31" s="47">
        <v>100000</v>
      </c>
      <c r="D31" s="51">
        <v>202947</v>
      </c>
      <c r="E31" s="52">
        <f>IF(E30+C31-D31&lt;0,0,E30+C31-D31)</f>
        <v>0</v>
      </c>
    </row>
    <row r="32" spans="2:5" x14ac:dyDescent="0.35">
      <c r="B32" s="50">
        <v>43861</v>
      </c>
      <c r="C32" s="47">
        <v>100000</v>
      </c>
      <c r="D32" s="51">
        <v>178232</v>
      </c>
      <c r="E32" s="26">
        <f>C32-D32</f>
        <v>-78232</v>
      </c>
    </row>
    <row r="33" spans="2:5" x14ac:dyDescent="0.35">
      <c r="B33" s="50">
        <v>43890</v>
      </c>
      <c r="C33" s="47">
        <v>100000</v>
      </c>
      <c r="D33" s="51">
        <v>175035</v>
      </c>
      <c r="E33" s="26">
        <f>E32+C33-D33</f>
        <v>-153267</v>
      </c>
    </row>
    <row r="34" spans="2:5" x14ac:dyDescent="0.35">
      <c r="B34" s="50">
        <v>43921</v>
      </c>
      <c r="C34" s="47">
        <v>100000</v>
      </c>
      <c r="D34" s="51">
        <v>166525</v>
      </c>
      <c r="E34" s="26">
        <f>E33+C34-D34</f>
        <v>-219792</v>
      </c>
    </row>
    <row r="35" spans="2:5" x14ac:dyDescent="0.35">
      <c r="B35" s="50">
        <v>43951</v>
      </c>
      <c r="C35" s="47">
        <v>100000</v>
      </c>
      <c r="D35" s="51">
        <v>18366</v>
      </c>
      <c r="E35" s="26">
        <f>E34+C35-D35</f>
        <v>-138158</v>
      </c>
    </row>
    <row r="36" spans="2:5" x14ac:dyDescent="0.35">
      <c r="B36" s="50">
        <v>43982</v>
      </c>
      <c r="C36" s="47">
        <v>100000</v>
      </c>
      <c r="D36" s="51">
        <v>155615</v>
      </c>
      <c r="E36" s="26">
        <f t="shared" ref="E36:E42" si="2">E35+C36-D36</f>
        <v>-193773</v>
      </c>
    </row>
    <row r="37" spans="2:5" x14ac:dyDescent="0.35">
      <c r="B37" s="50">
        <v>44012</v>
      </c>
      <c r="C37" s="47"/>
      <c r="D37" s="51"/>
      <c r="E37" s="26">
        <f t="shared" si="2"/>
        <v>-193773</v>
      </c>
    </row>
    <row r="38" spans="2:5" x14ac:dyDescent="0.35">
      <c r="B38" s="50">
        <v>44043</v>
      </c>
      <c r="C38" s="47"/>
      <c r="D38" s="51"/>
      <c r="E38" s="26">
        <f t="shared" si="2"/>
        <v>-193773</v>
      </c>
    </row>
    <row r="39" spans="2:5" x14ac:dyDescent="0.35">
      <c r="B39" s="50">
        <v>44074</v>
      </c>
      <c r="C39" s="47"/>
      <c r="D39" s="51"/>
      <c r="E39" s="26">
        <f t="shared" si="2"/>
        <v>-193773</v>
      </c>
    </row>
    <row r="40" spans="2:5" x14ac:dyDescent="0.35">
      <c r="B40" s="50">
        <v>44104</v>
      </c>
      <c r="C40" s="47"/>
      <c r="D40" s="51"/>
      <c r="E40" s="26">
        <f t="shared" si="2"/>
        <v>-193773</v>
      </c>
    </row>
    <row r="41" spans="2:5" x14ac:dyDescent="0.35">
      <c r="B41" s="50">
        <v>44135</v>
      </c>
      <c r="C41" s="47"/>
      <c r="D41" s="51"/>
      <c r="E41" s="26">
        <f t="shared" si="2"/>
        <v>-193773</v>
      </c>
    </row>
    <row r="42" spans="2:5" x14ac:dyDescent="0.35">
      <c r="B42" s="50">
        <v>44165</v>
      </c>
      <c r="C42" s="47"/>
      <c r="D42" s="51"/>
      <c r="E42" s="26">
        <f t="shared" si="2"/>
        <v>-193773</v>
      </c>
    </row>
    <row r="43" spans="2:5" x14ac:dyDescent="0.35">
      <c r="B43" s="50">
        <v>44196</v>
      </c>
      <c r="C43" s="47"/>
      <c r="D43" s="51"/>
      <c r="E43" s="27">
        <f>IF(E42+C43-D43&lt;0,0,E42+C43-D43)</f>
        <v>0</v>
      </c>
    </row>
  </sheetData>
  <mergeCells count="2">
    <mergeCell ref="A1:L3"/>
    <mergeCell ref="B6:E6"/>
  </mergeCells>
  <pageMargins left="0.511811024" right="0.511811024" top="0.78740157499999996" bottom="0.78740157499999996" header="0.31496062000000002" footer="0.31496062000000002"/>
  <pageSetup orientation="portrait" horizontalDpi="300" verticalDpi="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Introdução</vt:lpstr>
      <vt:lpstr>Carvão &amp; Total</vt:lpstr>
      <vt:lpstr>NF carvão</vt:lpstr>
      <vt:lpstr>Secund</vt:lpstr>
      <vt:lpstr>NF Óleo Comb</vt:lpstr>
      <vt:lpstr>ANP Diesel</vt:lpstr>
      <vt:lpstr>ANP Óleo Comb</vt:lpstr>
      <vt:lpstr>NF Diesel</vt:lpstr>
      <vt:lpstr>Estoque Carv</vt:lpstr>
      <vt:lpstr>Parâmetros</vt:lpstr>
      <vt:lpstr>Acompanhamento Ea-1</vt:lpstr>
      <vt:lpstr>SCD</vt:lpstr>
      <vt:lpstr>Reprocessamentos</vt:lpstr>
      <vt:lpstr>Financeiro</vt:lpstr>
      <vt:lpstr>Exportação</vt:lpstr>
      <vt:lpstr>Fiscalização Financeira</vt:lpstr>
      <vt:lpstr>Tributos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Agência Nacional de Energia Elétrica</dc:creator>
  <cp:lastModifiedBy>Gabriela Mota</cp:lastModifiedBy>
  <cp:lastPrinted>2024-01-30T12:53:58Z</cp:lastPrinted>
  <dcterms:created xsi:type="dcterms:W3CDTF">2020-02-13T14:17:37Z</dcterms:created>
  <dcterms:modified xsi:type="dcterms:W3CDTF">2026-02-13T12:56:39Z</dcterms:modified>
</cp:coreProperties>
</file>