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CSE\CONTA CDE\CCEE\Operação\2026\01. Janeiro\Pagamento\Reembolso Carvão\Diamante\"/>
    </mc:Choice>
  </mc:AlternateContent>
  <xr:revisionPtr revIDLastSave="0" documentId="8_{206FF00F-D128-4FD0-A178-3FFA32DC1878}" xr6:coauthVersionLast="47" xr6:coauthVersionMax="47" xr10:uidLastSave="{00000000-0000-0000-0000-000000000000}"/>
  <bookViews>
    <workbookView xWindow="-110" yWindow="-110" windowWidth="19420" windowHeight="10300" tabRatio="602" activeTab="1" xr2:uid="{00000000-000D-0000-FFFF-FFFF00000000}"/>
  </bookViews>
  <sheets>
    <sheet name="Introdução" sheetId="17" r:id="rId1"/>
    <sheet name="Carvão &amp; Total" sheetId="2" r:id="rId2"/>
    <sheet name="NF carvão" sheetId="10" r:id="rId3"/>
    <sheet name="Secund" sheetId="1" r:id="rId4"/>
    <sheet name="NF Óleo Comb" sheetId="13" r:id="rId5"/>
    <sheet name="NF Diesel" sheetId="4" r:id="rId6"/>
    <sheet name="ANP Óleo Comb" sheetId="11" r:id="rId7"/>
    <sheet name="ANP Diesel" sheetId="12" r:id="rId8"/>
    <sheet name="Acompanhamento Ea-1" sheetId="18" r:id="rId9"/>
    <sheet name="Parâmetros" sheetId="3" r:id="rId10"/>
    <sheet name="Reprocessamentos" sheetId="19" r:id="rId11"/>
    <sheet name="SCD" sheetId="15" r:id="rId12"/>
    <sheet name="Financeiro" sheetId="20" r:id="rId13"/>
    <sheet name="Exportação" sheetId="22" r:id="rId14"/>
    <sheet name="Tributos" sheetId="21" state="hidden" r:id="rId15"/>
  </sheets>
  <definedNames>
    <definedName name="_xlnm._FilterDatabase" localSheetId="12" hidden="1">Financeiro!$B$6:$J$29</definedName>
    <definedName name="_xlnm._FilterDatabase" localSheetId="2" hidden="1">'NF carvão'!$B$131:$G$159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22" l="1"/>
  <c r="K19" i="22"/>
  <c r="K20" i="22"/>
  <c r="I18" i="22"/>
  <c r="I19" i="22"/>
  <c r="I20" i="22"/>
  <c r="H18" i="22"/>
  <c r="H19" i="22"/>
  <c r="H20" i="22"/>
  <c r="G17" i="22"/>
  <c r="G18" i="22"/>
  <c r="G19" i="22"/>
  <c r="G20" i="22"/>
  <c r="E20" i="22"/>
  <c r="E19" i="22"/>
  <c r="E18" i="22"/>
  <c r="F20" i="22"/>
  <c r="G84" i="22"/>
  <c r="F84" i="22"/>
  <c r="E84" i="22"/>
  <c r="M18" i="2"/>
  <c r="F68" i="18"/>
  <c r="D18" i="2"/>
  <c r="G99" i="4"/>
  <c r="D99" i="4"/>
  <c r="H99" i="4"/>
  <c r="H97" i="4"/>
  <c r="I97" i="4" s="1"/>
  <c r="F97" i="4"/>
  <c r="H98" i="4"/>
  <c r="I98" i="4" s="1"/>
  <c r="F98" i="4"/>
  <c r="H96" i="4"/>
  <c r="I96" i="4" s="1"/>
  <c r="F96" i="4"/>
  <c r="G372" i="10"/>
  <c r="E372" i="10"/>
  <c r="C18" i="2"/>
  <c r="D92" i="4"/>
  <c r="E92" i="4"/>
  <c r="G92" i="4"/>
  <c r="F372" i="10" l="1"/>
  <c r="E343" i="10"/>
  <c r="B15" i="20"/>
  <c r="B16" i="20"/>
  <c r="I16" i="20"/>
  <c r="J16" i="20"/>
  <c r="B17" i="20"/>
  <c r="B18" i="20"/>
  <c r="I18" i="20"/>
  <c r="J18" i="20"/>
  <c r="B19" i="20"/>
  <c r="B20" i="20"/>
  <c r="I20" i="20"/>
  <c r="J20" i="20"/>
  <c r="I22" i="20"/>
  <c r="J22" i="20"/>
  <c r="I27" i="20"/>
  <c r="J27" i="20" s="1"/>
  <c r="B14" i="20"/>
  <c r="D18" i="1"/>
  <c r="D17" i="2"/>
  <c r="C17" i="2"/>
  <c r="G24" i="11" l="1"/>
  <c r="E26" i="11"/>
  <c r="F90" i="4"/>
  <c r="H90" i="4" s="1"/>
  <c r="I90" i="4" s="1"/>
  <c r="G335" i="10"/>
  <c r="G336" i="10"/>
  <c r="G337" i="10"/>
  <c r="G340" i="10"/>
  <c r="G339" i="10"/>
  <c r="G338" i="10"/>
  <c r="E314" i="10"/>
  <c r="C18" i="1" l="1"/>
  <c r="E18" i="1" s="1"/>
  <c r="E87" i="4"/>
  <c r="H87" i="4" l="1"/>
  <c r="G87" i="4"/>
  <c r="F81" i="4"/>
  <c r="F82" i="4"/>
  <c r="F83" i="4"/>
  <c r="F84" i="4"/>
  <c r="F85" i="4"/>
  <c r="F86" i="4"/>
  <c r="D87" i="4"/>
  <c r="I86" i="4"/>
  <c r="L85" i="4"/>
  <c r="I85" i="4"/>
  <c r="I84" i="4"/>
  <c r="L83" i="4"/>
  <c r="I83" i="4"/>
  <c r="H46" i="13"/>
  <c r="D46" i="13"/>
  <c r="G307" i="10"/>
  <c r="G306" i="10"/>
  <c r="G305" i="10"/>
  <c r="G304" i="10"/>
  <c r="G303" i="10"/>
  <c r="G302" i="10"/>
  <c r="G301" i="10"/>
  <c r="G300" i="10"/>
  <c r="G299" i="10"/>
  <c r="D16" i="2"/>
  <c r="C16" i="2"/>
  <c r="H17" i="22"/>
  <c r="G89" i="22"/>
  <c r="F89" i="22"/>
  <c r="E89" i="22"/>
  <c r="G79" i="22"/>
  <c r="F79" i="22"/>
  <c r="E79" i="22"/>
  <c r="G74" i="22"/>
  <c r="F74" i="22"/>
  <c r="F17" i="22" s="1"/>
  <c r="E74" i="22"/>
  <c r="F87" i="4" l="1"/>
  <c r="E284" i="10"/>
  <c r="D15" i="2" l="1"/>
  <c r="C15" i="2"/>
  <c r="V15" i="4"/>
  <c r="G22" i="11"/>
  <c r="G280" i="10" l="1"/>
  <c r="G279" i="10"/>
  <c r="G278" i="10"/>
  <c r="G277" i="10"/>
  <c r="G276" i="10"/>
  <c r="G275" i="10"/>
  <c r="G274" i="10"/>
  <c r="G273" i="10"/>
  <c r="G272" i="10"/>
  <c r="E35" i="15"/>
  <c r="F69" i="22"/>
  <c r="F16" i="22" s="1"/>
  <c r="F14" i="22"/>
  <c r="G14" i="22" s="1"/>
  <c r="G69" i="22"/>
  <c r="E69" i="22"/>
  <c r="H16" i="22"/>
  <c r="D16" i="22"/>
  <c r="E256" i="10"/>
  <c r="E45" i="15"/>
  <c r="D75" i="4"/>
  <c r="E75" i="4"/>
  <c r="G75" i="4"/>
  <c r="E16" i="12"/>
  <c r="F16" i="12" s="1"/>
  <c r="Y14" i="4"/>
  <c r="D69" i="4"/>
  <c r="F72" i="4"/>
  <c r="H72" i="4" s="1"/>
  <c r="I72" i="4" s="1"/>
  <c r="F71" i="4"/>
  <c r="G249" i="10"/>
  <c r="G248" i="10"/>
  <c r="G247" i="10"/>
  <c r="G246" i="10"/>
  <c r="G245" i="10"/>
  <c r="G244" i="10"/>
  <c r="G243" i="10"/>
  <c r="G242" i="10"/>
  <c r="H71" i="4" l="1"/>
  <c r="D14" i="2"/>
  <c r="C14" i="2"/>
  <c r="G64" i="22"/>
  <c r="F64" i="22"/>
  <c r="F15" i="22" s="1"/>
  <c r="E64" i="22"/>
  <c r="H15" i="22"/>
  <c r="E40" i="15"/>
  <c r="E69" i="4"/>
  <c r="G69" i="4"/>
  <c r="E224" i="10"/>
  <c r="F66" i="4"/>
  <c r="H66" i="4" s="1"/>
  <c r="I66" i="4" s="1"/>
  <c r="F65" i="4"/>
  <c r="H65" i="4" s="1"/>
  <c r="I65" i="4" s="1"/>
  <c r="F64" i="4"/>
  <c r="H64" i="4" s="1"/>
  <c r="I64" i="4" s="1"/>
  <c r="G18" i="11"/>
  <c r="G219" i="10"/>
  <c r="G218" i="10"/>
  <c r="G217" i="10"/>
  <c r="G216" i="10"/>
  <c r="D13" i="2"/>
  <c r="C13" i="2"/>
  <c r="H10" i="11"/>
  <c r="H16" i="11"/>
  <c r="I71" i="4" l="1"/>
  <c r="E192" i="10"/>
  <c r="D62" i="4"/>
  <c r="E62" i="4"/>
  <c r="G62" i="4"/>
  <c r="H14" i="22"/>
  <c r="I14" i="22" s="1"/>
  <c r="K14" i="22" s="1"/>
  <c r="G59" i="22"/>
  <c r="F59" i="22"/>
  <c r="E59" i="22"/>
  <c r="F55" i="4"/>
  <c r="H55" i="4" s="1"/>
  <c r="I55" i="4" s="1"/>
  <c r="F56" i="4"/>
  <c r="H56" i="4" s="1"/>
  <c r="I56" i="4" s="1"/>
  <c r="F57" i="4"/>
  <c r="H57" i="4" s="1"/>
  <c r="I57" i="4" s="1"/>
  <c r="F54" i="4"/>
  <c r="H54" i="4" s="1"/>
  <c r="I54" i="4" s="1"/>
  <c r="F53" i="4"/>
  <c r="H53" i="4" s="1"/>
  <c r="I53" i="4" s="1"/>
  <c r="F59" i="4"/>
  <c r="H59" i="4" s="1"/>
  <c r="I59" i="4" s="1"/>
  <c r="F58" i="4"/>
  <c r="H58" i="4" s="1"/>
  <c r="I58" i="4" s="1"/>
  <c r="G185" i="10"/>
  <c r="G184" i="10"/>
  <c r="G183" i="10"/>
  <c r="G182" i="10"/>
  <c r="G181" i="10"/>
  <c r="G180" i="10"/>
  <c r="G179" i="10"/>
  <c r="D12" i="2"/>
  <c r="C12" i="2"/>
  <c r="F49" i="22" l="1"/>
  <c r="F12" i="22" s="1"/>
  <c r="G12" i="22" s="1"/>
  <c r="H13" i="22"/>
  <c r="G54" i="22"/>
  <c r="F54" i="22"/>
  <c r="F13" i="22" s="1"/>
  <c r="G13" i="22" s="1"/>
  <c r="E54" i="22"/>
  <c r="D11" i="2"/>
  <c r="C11" i="2"/>
  <c r="D51" i="4"/>
  <c r="E51" i="4"/>
  <c r="G51" i="4"/>
  <c r="F41" i="4"/>
  <c r="H41" i="4" s="1"/>
  <c r="I41" i="4" s="1"/>
  <c r="E159" i="10"/>
  <c r="E128" i="10"/>
  <c r="F42" i="4"/>
  <c r="H42" i="4" s="1"/>
  <c r="I42" i="4" s="1"/>
  <c r="F46" i="4"/>
  <c r="H46" i="4" s="1"/>
  <c r="I46" i="4" s="1"/>
  <c r="F45" i="4"/>
  <c r="H45" i="4" s="1"/>
  <c r="I45" i="4" s="1"/>
  <c r="F44" i="4"/>
  <c r="H44" i="4" s="1"/>
  <c r="I44" i="4" s="1"/>
  <c r="F43" i="4"/>
  <c r="H43" i="4" s="1"/>
  <c r="I43" i="4" s="1"/>
  <c r="F48" i="4"/>
  <c r="H48" i="4" s="1"/>
  <c r="I48" i="4" s="1"/>
  <c r="F47" i="4"/>
  <c r="H47" i="4" s="1"/>
  <c r="I47" i="4" s="1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H12" i="22"/>
  <c r="H11" i="22"/>
  <c r="G49" i="22"/>
  <c r="E49" i="22"/>
  <c r="G44" i="22"/>
  <c r="F44" i="22"/>
  <c r="F11" i="22" s="1"/>
  <c r="E44" i="22"/>
  <c r="D10" i="2"/>
  <c r="C10" i="2"/>
  <c r="I13" i="22" l="1"/>
  <c r="K13" i="22" s="1"/>
  <c r="I12" i="22"/>
  <c r="K12" i="22" s="1"/>
  <c r="G11" i="22"/>
  <c r="I11" i="22" s="1"/>
  <c r="K11" i="22" s="1"/>
  <c r="E39" i="4"/>
  <c r="G39" i="4"/>
  <c r="G108" i="10"/>
  <c r="G107" i="10"/>
  <c r="G106" i="10"/>
  <c r="G105" i="10"/>
  <c r="G104" i="10"/>
  <c r="G103" i="10"/>
  <c r="F35" i="4"/>
  <c r="H35" i="4" s="1"/>
  <c r="I35" i="4" s="1"/>
  <c r="F36" i="4"/>
  <c r="H36" i="4" s="1"/>
  <c r="I36" i="4" s="1"/>
  <c r="F37" i="4"/>
  <c r="H37" i="4" s="1"/>
  <c r="I37" i="4" s="1"/>
  <c r="H10" i="22" l="1"/>
  <c r="F39" i="22"/>
  <c r="G10" i="22" s="1"/>
  <c r="G39" i="22"/>
  <c r="E39" i="22"/>
  <c r="G98" i="10"/>
  <c r="I10" i="22" l="1"/>
  <c r="K10" i="22" s="1"/>
  <c r="G24" i="4" l="1"/>
  <c r="F31" i="4"/>
  <c r="H31" i="4" s="1"/>
  <c r="E99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D32" i="4"/>
  <c r="E32" i="4"/>
  <c r="G27" i="4"/>
  <c r="G28" i="4"/>
  <c r="G29" i="4"/>
  <c r="G30" i="4"/>
  <c r="G31" i="4"/>
  <c r="G26" i="4"/>
  <c r="F28" i="4"/>
  <c r="H28" i="4" s="1"/>
  <c r="F29" i="4"/>
  <c r="H29" i="4" s="1"/>
  <c r="I29" i="4" s="1"/>
  <c r="F30" i="4"/>
  <c r="H30" i="4" s="1"/>
  <c r="I30" i="4" s="1"/>
  <c r="F22" i="4"/>
  <c r="D9" i="2"/>
  <c r="C9" i="2"/>
  <c r="I28" i="4" l="1"/>
  <c r="G32" i="4"/>
  <c r="I31" i="4"/>
  <c r="I7" i="19"/>
  <c r="H10" i="12"/>
  <c r="F10" i="12"/>
  <c r="E10" i="12"/>
  <c r="N8" i="11"/>
  <c r="N6" i="11" l="1"/>
  <c r="I8" i="11"/>
  <c r="J8" i="11" l="1"/>
  <c r="K8" i="11" s="1"/>
  <c r="O8" i="11" s="1"/>
  <c r="D24" i="4"/>
  <c r="E24" i="4"/>
  <c r="D8" i="2"/>
  <c r="C8" i="2"/>
  <c r="H22" i="4"/>
  <c r="I22" i="4" s="1"/>
  <c r="F23" i="4"/>
  <c r="E70" i="10" l="1"/>
  <c r="G54" i="10"/>
  <c r="G53" i="10"/>
  <c r="G52" i="10"/>
  <c r="G51" i="10"/>
  <c r="G50" i="10"/>
  <c r="G49" i="10"/>
  <c r="G48" i="10"/>
  <c r="G47" i="10"/>
  <c r="G46" i="10"/>
  <c r="G45" i="10"/>
  <c r="G44" i="10"/>
  <c r="G43" i="10"/>
  <c r="E10" i="15"/>
  <c r="E34" i="22"/>
  <c r="F29" i="22" l="1"/>
  <c r="F8" i="22" s="1"/>
  <c r="E29" i="22"/>
  <c r="G8" i="22" l="1"/>
  <c r="I8" i="22" s="1"/>
  <c r="K8" i="22" s="1"/>
  <c r="G34" i="22" l="1"/>
  <c r="F34" i="22"/>
  <c r="F9" i="22" s="1"/>
  <c r="G29" i="22"/>
  <c r="H9" i="22"/>
  <c r="G9" i="20" l="1"/>
  <c r="F10" i="15" l="1"/>
  <c r="D18" i="4"/>
  <c r="E18" i="4"/>
  <c r="D9" i="4"/>
  <c r="E9" i="4"/>
  <c r="G9" i="4"/>
  <c r="G18" i="4"/>
  <c r="F13" i="4"/>
  <c r="H13" i="4" s="1"/>
  <c r="I13" i="4" s="1"/>
  <c r="F14" i="4"/>
  <c r="H14" i="4" s="1"/>
  <c r="I14" i="4" s="1"/>
  <c r="F15" i="4"/>
  <c r="H15" i="4" s="1"/>
  <c r="I15" i="4" s="1"/>
  <c r="F16" i="4"/>
  <c r="H16" i="4" s="1"/>
  <c r="I16" i="4" s="1"/>
  <c r="F17" i="4"/>
  <c r="H17" i="4" s="1"/>
  <c r="I17" i="4" s="1"/>
  <c r="E39" i="10"/>
  <c r="G30" i="10"/>
  <c r="G29" i="10"/>
  <c r="G28" i="10"/>
  <c r="G27" i="10"/>
  <c r="G26" i="10"/>
  <c r="G25" i="10"/>
  <c r="G24" i="10"/>
  <c r="G37" i="10"/>
  <c r="G36" i="10"/>
  <c r="G35" i="10"/>
  <c r="G34" i="10"/>
  <c r="G33" i="10"/>
  <c r="G32" i="10"/>
  <c r="G31" i="10"/>
  <c r="Q13" i="10" l="1"/>
  <c r="H7" i="4" l="1"/>
  <c r="I7" i="4" s="1"/>
  <c r="F7" i="4"/>
  <c r="H6" i="4"/>
  <c r="I6" i="4" s="1"/>
  <c r="F6" i="4"/>
  <c r="E8" i="12"/>
  <c r="F8" i="12" s="1"/>
  <c r="F9" i="4" l="1"/>
  <c r="I9" i="4"/>
  <c r="I10" i="4" s="1"/>
  <c r="F89" i="4"/>
  <c r="G371" i="10"/>
  <c r="G370" i="10"/>
  <c r="G369" i="10"/>
  <c r="G368" i="10"/>
  <c r="G367" i="10"/>
  <c r="G366" i="10"/>
  <c r="G365" i="10"/>
  <c r="G364" i="10"/>
  <c r="G363" i="10"/>
  <c r="G362" i="10"/>
  <c r="G361" i="10"/>
  <c r="G360" i="10"/>
  <c r="G319" i="10"/>
  <c r="G320" i="10"/>
  <c r="G321" i="10"/>
  <c r="G322" i="10"/>
  <c r="G323" i="10"/>
  <c r="G324" i="10"/>
  <c r="G325" i="10"/>
  <c r="G326" i="10"/>
  <c r="G327" i="10"/>
  <c r="G328" i="10"/>
  <c r="G329" i="10"/>
  <c r="G330" i="10"/>
  <c r="G331" i="10"/>
  <c r="G332" i="10"/>
  <c r="G333" i="10"/>
  <c r="G334" i="10"/>
  <c r="G341" i="10"/>
  <c r="G342" i="10"/>
  <c r="G318" i="10"/>
  <c r="G343" i="10" s="1"/>
  <c r="F343" i="10" s="1"/>
  <c r="I81" i="4"/>
  <c r="I82" i="4"/>
  <c r="I87" i="4" l="1"/>
  <c r="I88" i="4" s="1"/>
  <c r="X16" i="4" s="1"/>
  <c r="U16" i="4" s="1"/>
  <c r="G79" i="4"/>
  <c r="E79" i="4"/>
  <c r="D79" i="4"/>
  <c r="F45" i="15" l="1"/>
  <c r="I16" i="12" l="1"/>
  <c r="H15" i="12"/>
  <c r="F74" i="4"/>
  <c r="H74" i="4" s="1"/>
  <c r="I74" i="4" s="1"/>
  <c r="L87" i="4" s="1"/>
  <c r="F73" i="4"/>
  <c r="F68" i="4"/>
  <c r="H68" i="4" s="1"/>
  <c r="I68" i="4" s="1"/>
  <c r="G213" i="10"/>
  <c r="G214" i="10"/>
  <c r="G215" i="10"/>
  <c r="G220" i="10"/>
  <c r="G221" i="10"/>
  <c r="G222" i="10"/>
  <c r="G223" i="10"/>
  <c r="F35" i="15"/>
  <c r="E62" i="18"/>
  <c r="F50" i="4"/>
  <c r="I17" i="19"/>
  <c r="I16" i="19"/>
  <c r="F34" i="4"/>
  <c r="H73" i="4" l="1"/>
  <c r="H75" i="4" s="1"/>
  <c r="F75" i="4"/>
  <c r="I73" i="4"/>
  <c r="J16" i="12"/>
  <c r="K16" i="12"/>
  <c r="N15" i="1" s="1"/>
  <c r="Y10" i="4"/>
  <c r="R8" i="1"/>
  <c r="R9" i="1"/>
  <c r="R10" i="1"/>
  <c r="D7" i="2"/>
  <c r="I75" i="4" l="1"/>
  <c r="K7" i="19"/>
  <c r="I8" i="19"/>
  <c r="K8" i="19" s="1"/>
  <c r="E20" i="15"/>
  <c r="E59" i="18" s="1"/>
  <c r="F20" i="15"/>
  <c r="I10" i="20"/>
  <c r="J10" i="20" s="1"/>
  <c r="I8" i="20"/>
  <c r="J8" i="20" s="1"/>
  <c r="I76" i="4" l="1"/>
  <c r="X14" i="4" s="1"/>
  <c r="I9" i="20"/>
  <c r="J9" i="20" s="1"/>
  <c r="U14" i="4" l="1"/>
  <c r="M15" i="1" s="1"/>
  <c r="C16" i="22" s="1"/>
  <c r="U15" i="4"/>
  <c r="F15" i="15"/>
  <c r="E15" i="15"/>
  <c r="E58" i="18" s="1"/>
  <c r="I6" i="11" l="1"/>
  <c r="J6" i="11" s="1"/>
  <c r="K6" i="11" s="1"/>
  <c r="H9" i="12"/>
  <c r="F11" i="4"/>
  <c r="P8" i="1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38" i="10"/>
  <c r="G8" i="10"/>
  <c r="F95" i="4"/>
  <c r="F94" i="4"/>
  <c r="F99" i="4" s="1"/>
  <c r="F91" i="4"/>
  <c r="F67" i="4"/>
  <c r="F21" i="4"/>
  <c r="F20" i="4"/>
  <c r="H23" i="4" s="1"/>
  <c r="I23" i="4" s="1"/>
  <c r="F12" i="4"/>
  <c r="H12" i="4" s="1"/>
  <c r="I12" i="4" s="1"/>
  <c r="N18" i="2"/>
  <c r="F18" i="4" l="1"/>
  <c r="F24" i="4"/>
  <c r="O6" i="11"/>
  <c r="U6" i="4"/>
  <c r="X6" i="4"/>
  <c r="G39" i="10"/>
  <c r="F39" i="10" s="1"/>
  <c r="G359" i="10"/>
  <c r="G358" i="10"/>
  <c r="G357" i="10"/>
  <c r="G356" i="10"/>
  <c r="G355" i="10"/>
  <c r="G354" i="10"/>
  <c r="G353" i="10"/>
  <c r="G352" i="10"/>
  <c r="G351" i="10"/>
  <c r="G350" i="10"/>
  <c r="G349" i="10"/>
  <c r="G348" i="10"/>
  <c r="G347" i="10"/>
  <c r="E99" i="4"/>
  <c r="H94" i="4"/>
  <c r="H95" i="4"/>
  <c r="N16" i="2"/>
  <c r="N17" i="2"/>
  <c r="H91" i="4"/>
  <c r="H89" i="4"/>
  <c r="F55" i="15"/>
  <c r="G311" i="10" l="1"/>
  <c r="G310" i="10"/>
  <c r="G309" i="10"/>
  <c r="G308" i="10"/>
  <c r="G298" i="10"/>
  <c r="G297" i="10"/>
  <c r="G296" i="10"/>
  <c r="G295" i="10"/>
  <c r="G294" i="10"/>
  <c r="G293" i="10"/>
  <c r="G292" i="10"/>
  <c r="G291" i="10"/>
  <c r="G290" i="10"/>
  <c r="G289" i="10"/>
  <c r="G288" i="10"/>
  <c r="N15" i="2"/>
  <c r="G283" i="10" l="1"/>
  <c r="G282" i="10"/>
  <c r="G281" i="10"/>
  <c r="G271" i="10"/>
  <c r="G270" i="10"/>
  <c r="G269" i="10"/>
  <c r="G268" i="10"/>
  <c r="G267" i="10"/>
  <c r="G266" i="10"/>
  <c r="G265" i="10"/>
  <c r="G264" i="10"/>
  <c r="G263" i="10"/>
  <c r="G262" i="10"/>
  <c r="G261" i="10"/>
  <c r="G260" i="10"/>
  <c r="G251" i="10"/>
  <c r="G250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N14" i="2"/>
  <c r="G284" i="10" l="1"/>
  <c r="F284" i="10" s="1"/>
  <c r="H67" i="4"/>
  <c r="F69" i="4" l="1"/>
  <c r="N13" i="2"/>
  <c r="E15" i="12"/>
  <c r="F15" i="12" s="1"/>
  <c r="G208" i="10"/>
  <c r="G207" i="10"/>
  <c r="G206" i="10"/>
  <c r="G205" i="10"/>
  <c r="N12" i="2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N11" i="2"/>
  <c r="E30" i="15"/>
  <c r="F30" i="15"/>
  <c r="H20" i="15"/>
  <c r="H25" i="15"/>
  <c r="N9" i="2"/>
  <c r="H12" i="12"/>
  <c r="E12" i="12"/>
  <c r="N10" i="2"/>
  <c r="F12" i="12" l="1"/>
  <c r="I12" i="12" s="1"/>
  <c r="K12" i="12" s="1"/>
  <c r="N11" i="1" s="1"/>
  <c r="F38" i="4"/>
  <c r="D39" i="4" l="1"/>
  <c r="G127" i="10" l="1"/>
  <c r="G125" i="10"/>
  <c r="G122" i="10"/>
  <c r="G121" i="10"/>
  <c r="G120" i="10"/>
  <c r="G119" i="10"/>
  <c r="G74" i="10" l="1"/>
  <c r="G97" i="10"/>
  <c r="G96" i="10"/>
  <c r="G95" i="10"/>
  <c r="G94" i="10"/>
  <c r="G93" i="10"/>
  <c r="G80" i="10"/>
  <c r="G79" i="10"/>
  <c r="G78" i="10"/>
  <c r="G77" i="10"/>
  <c r="G76" i="10"/>
  <c r="G75" i="10"/>
  <c r="I20" i="4"/>
  <c r="G99" i="10" l="1"/>
  <c r="F99" i="10" s="1"/>
  <c r="H19" i="13"/>
  <c r="N8" i="10" l="1"/>
  <c r="O8" i="10" s="1"/>
  <c r="P8" i="10" s="1"/>
  <c r="N9" i="10"/>
  <c r="O9" i="10" s="1"/>
  <c r="P9" i="10" s="1"/>
  <c r="N10" i="10"/>
  <c r="O10" i="10" s="1"/>
  <c r="P10" i="10" s="1"/>
  <c r="N11" i="10"/>
  <c r="O11" i="10" s="1"/>
  <c r="P11" i="10" s="1"/>
  <c r="N12" i="10"/>
  <c r="O12" i="10" s="1"/>
  <c r="N7" i="10"/>
  <c r="O7" i="10" s="1"/>
  <c r="P7" i="10" s="1"/>
  <c r="P15" i="10" l="1"/>
  <c r="G14" i="2" s="1"/>
  <c r="O15" i="10"/>
  <c r="N15" i="10"/>
  <c r="J13" i="4"/>
  <c r="K13" i="4"/>
  <c r="L13" i="4"/>
  <c r="M13" i="4"/>
  <c r="N13" i="4"/>
  <c r="O13" i="4"/>
  <c r="P13" i="4"/>
  <c r="Q13" i="4"/>
  <c r="R13" i="4"/>
  <c r="G12" i="2" l="1"/>
  <c r="G10" i="2"/>
  <c r="G17" i="2"/>
  <c r="G13" i="2"/>
  <c r="G9" i="2"/>
  <c r="G18" i="2"/>
  <c r="G16" i="2"/>
  <c r="G11" i="2"/>
  <c r="G7" i="2"/>
  <c r="H7" i="2" s="1"/>
  <c r="G15" i="2"/>
  <c r="G8" i="2"/>
  <c r="Q14" i="4"/>
  <c r="R14" i="4"/>
  <c r="P14" i="4"/>
  <c r="O14" i="4"/>
  <c r="I36" i="20"/>
  <c r="J36" i="20" s="1"/>
  <c r="B36" i="20"/>
  <c r="I35" i="20"/>
  <c r="J35" i="20" s="1"/>
  <c r="B35" i="20"/>
  <c r="I34" i="20"/>
  <c r="J34" i="20" s="1"/>
  <c r="B34" i="20"/>
  <c r="I33" i="20"/>
  <c r="J33" i="20" s="1"/>
  <c r="B33" i="20"/>
  <c r="B13" i="20"/>
  <c r="B12" i="20"/>
  <c r="B11" i="20"/>
  <c r="B9" i="20"/>
  <c r="B8" i="20"/>
  <c r="B7" i="20"/>
  <c r="I23" i="19"/>
  <c r="K23" i="19" s="1"/>
  <c r="I22" i="19"/>
  <c r="K22" i="19" s="1"/>
  <c r="I21" i="19"/>
  <c r="K21" i="19" s="1"/>
  <c r="I20" i="19"/>
  <c r="K20" i="19" s="1"/>
  <c r="I19" i="19"/>
  <c r="K19" i="19" s="1"/>
  <c r="I18" i="19"/>
  <c r="K18" i="19" s="1"/>
  <c r="K17" i="19"/>
  <c r="K16" i="19"/>
  <c r="I15" i="19"/>
  <c r="K15" i="19" s="1"/>
  <c r="I14" i="19"/>
  <c r="I13" i="19"/>
  <c r="I12" i="19"/>
  <c r="I11" i="19"/>
  <c r="K11" i="19" s="1"/>
  <c r="I10" i="19"/>
  <c r="K10" i="19" s="1"/>
  <c r="I9" i="19"/>
  <c r="K9" i="19" s="1"/>
  <c r="I6" i="19"/>
  <c r="K6" i="19" s="1"/>
  <c r="H20" i="12"/>
  <c r="K14" i="19" l="1"/>
  <c r="K12" i="19"/>
  <c r="K13" i="19"/>
  <c r="R7" i="20"/>
  <c r="S7" i="20"/>
  <c r="Y16" i="4"/>
  <c r="Y6" i="4"/>
  <c r="H9" i="4"/>
  <c r="M14" i="4" s="1"/>
  <c r="L14" i="4"/>
  <c r="J14" i="4"/>
  <c r="M15" i="10"/>
  <c r="T7" i="20" l="1"/>
  <c r="H60" i="15" l="1"/>
  <c r="E19" i="12" l="1"/>
  <c r="F19" i="12" s="1"/>
  <c r="I94" i="4"/>
  <c r="I99" i="4" s="1"/>
  <c r="I95" i="4"/>
  <c r="I91" i="4"/>
  <c r="I100" i="4" l="1"/>
  <c r="X18" i="4" s="1"/>
  <c r="U18" i="4" s="1"/>
  <c r="K15" i="10"/>
  <c r="F60" i="15" l="1"/>
  <c r="H92" i="4" l="1"/>
  <c r="I89" i="4"/>
  <c r="I92" i="4" s="1"/>
  <c r="I93" i="4" s="1"/>
  <c r="X17" i="4" l="1"/>
  <c r="U17" i="4" s="1"/>
  <c r="G313" i="10"/>
  <c r="G312" i="10"/>
  <c r="G314" i="10" s="1"/>
  <c r="F314" i="10" s="1"/>
  <c r="E64" i="18" l="1"/>
  <c r="E61" i="18"/>
  <c r="G253" i="10" l="1"/>
  <c r="G254" i="10"/>
  <c r="G255" i="10"/>
  <c r="G252" i="10"/>
  <c r="G256" i="10" l="1"/>
  <c r="F256" i="10" s="1"/>
  <c r="E63" i="18"/>
  <c r="F40" i="15"/>
  <c r="G212" i="10" l="1"/>
  <c r="G211" i="10"/>
  <c r="G210" i="10"/>
  <c r="G209" i="10"/>
  <c r="G204" i="10"/>
  <c r="G196" i="10"/>
  <c r="G197" i="10"/>
  <c r="G198" i="10"/>
  <c r="G199" i="10"/>
  <c r="G200" i="10"/>
  <c r="G201" i="10"/>
  <c r="G202" i="10"/>
  <c r="G203" i="10"/>
  <c r="G191" i="10"/>
  <c r="G190" i="10"/>
  <c r="G189" i="10"/>
  <c r="G188" i="10"/>
  <c r="G187" i="10"/>
  <c r="G186" i="10"/>
  <c r="G178" i="10"/>
  <c r="G177" i="10"/>
  <c r="G224" i="10" l="1"/>
  <c r="F224" i="10" s="1"/>
  <c r="G192" i="10"/>
  <c r="F192" i="10" s="1"/>
  <c r="G155" i="10" l="1"/>
  <c r="G156" i="10"/>
  <c r="G157" i="10"/>
  <c r="G158" i="10"/>
  <c r="G154" i="10"/>
  <c r="L10" i="10"/>
  <c r="L11" i="10"/>
  <c r="L12" i="10"/>
  <c r="L9" i="10"/>
  <c r="L8" i="10"/>
  <c r="L7" i="10"/>
  <c r="G159" i="10" l="1"/>
  <c r="F159" i="10" s="1"/>
  <c r="L15" i="10"/>
  <c r="E25" i="15"/>
  <c r="E60" i="18" s="1"/>
  <c r="G110" i="10"/>
  <c r="G111" i="10"/>
  <c r="G112" i="10"/>
  <c r="G113" i="10"/>
  <c r="G114" i="10"/>
  <c r="G115" i="10"/>
  <c r="G116" i="10"/>
  <c r="G117" i="10"/>
  <c r="G118" i="10"/>
  <c r="G123" i="10"/>
  <c r="G124" i="10"/>
  <c r="G126" i="10"/>
  <c r="G109" i="10"/>
  <c r="G128" i="10" l="1"/>
  <c r="F128" i="10" s="1"/>
  <c r="D9" i="1"/>
  <c r="G15" i="15"/>
  <c r="G69" i="10"/>
  <c r="G68" i="10"/>
  <c r="G67" i="10"/>
  <c r="G66" i="10"/>
  <c r="G65" i="10"/>
  <c r="G64" i="10"/>
  <c r="G63" i="10"/>
  <c r="G62" i="10"/>
  <c r="G61" i="10"/>
  <c r="G60" i="10"/>
  <c r="G58" i="10"/>
  <c r="G59" i="10"/>
  <c r="G57" i="10"/>
  <c r="G56" i="10"/>
  <c r="G55" i="10"/>
  <c r="D25" i="3"/>
  <c r="P8" i="2" s="1"/>
  <c r="G70" i="10" l="1"/>
  <c r="F70" i="10" s="1"/>
  <c r="H11" i="12"/>
  <c r="H13" i="12"/>
  <c r="H14" i="12"/>
  <c r="I40" i="15" l="1"/>
  <c r="I50" i="15" l="1"/>
  <c r="H50" i="15"/>
  <c r="I20" i="15" l="1"/>
  <c r="E16" i="13" l="1"/>
  <c r="D20" i="3" l="1"/>
  <c r="D21" i="3" s="1"/>
  <c r="D15" i="3"/>
  <c r="D16" i="3" s="1"/>
  <c r="D19" i="13" l="1"/>
  <c r="H20" i="13" s="1"/>
  <c r="N7" i="13" s="1"/>
  <c r="N28" i="11" l="1"/>
  <c r="I28" i="11"/>
  <c r="J28" i="11" s="1"/>
  <c r="K28" i="11" s="1"/>
  <c r="N26" i="11"/>
  <c r="I26" i="11"/>
  <c r="J26" i="11" s="1"/>
  <c r="N24" i="11"/>
  <c r="I24" i="11"/>
  <c r="J24" i="11" s="1"/>
  <c r="K24" i="11" s="1"/>
  <c r="N22" i="11"/>
  <c r="I22" i="11"/>
  <c r="J22" i="11" s="1"/>
  <c r="N20" i="11"/>
  <c r="I20" i="11"/>
  <c r="N18" i="11"/>
  <c r="I18" i="11"/>
  <c r="N16" i="11"/>
  <c r="I16" i="11"/>
  <c r="N14" i="11"/>
  <c r="I14" i="11"/>
  <c r="N12" i="11"/>
  <c r="I12" i="11"/>
  <c r="J12" i="11" s="1"/>
  <c r="K12" i="11" s="1"/>
  <c r="N10" i="11"/>
  <c r="I10" i="11"/>
  <c r="J10" i="11" s="1"/>
  <c r="O28" i="11" l="1"/>
  <c r="D19" i="1" s="1"/>
  <c r="O24" i="11"/>
  <c r="J18" i="11"/>
  <c r="K18" i="11" s="1"/>
  <c r="O18" i="11" s="1"/>
  <c r="O12" i="11"/>
  <c r="J16" i="11"/>
  <c r="K16" i="11" s="1"/>
  <c r="O16" i="11" s="1"/>
  <c r="K22" i="11"/>
  <c r="O22" i="11" s="1"/>
  <c r="J20" i="11"/>
  <c r="K20" i="11" s="1"/>
  <c r="O20" i="11" s="1"/>
  <c r="K26" i="11"/>
  <c r="O26" i="11" s="1"/>
  <c r="K10" i="11"/>
  <c r="O10" i="11" s="1"/>
  <c r="J14" i="11"/>
  <c r="K14" i="11" s="1"/>
  <c r="O14" i="11" s="1"/>
  <c r="E65" i="15" l="1"/>
  <c r="E68" i="18" s="1"/>
  <c r="F65" i="15"/>
  <c r="E9" i="12" l="1"/>
  <c r="F9" i="12" s="1"/>
  <c r="I9" i="12" s="1"/>
  <c r="E11" i="12"/>
  <c r="E13" i="12"/>
  <c r="E14" i="12"/>
  <c r="E17" i="12"/>
  <c r="E18" i="12"/>
  <c r="E20" i="12"/>
  <c r="H19" i="12"/>
  <c r="I19" i="12" s="1"/>
  <c r="H18" i="12"/>
  <c r="H17" i="12"/>
  <c r="H17" i="1"/>
  <c r="H18" i="1"/>
  <c r="H19" i="1"/>
  <c r="R16" i="1"/>
  <c r="R17" i="1"/>
  <c r="R18" i="1"/>
  <c r="R19" i="1"/>
  <c r="H16" i="1"/>
  <c r="F17" i="12" l="1"/>
  <c r="I17" i="12" s="1"/>
  <c r="J17" i="12" s="1"/>
  <c r="F77" i="4"/>
  <c r="H77" i="4" s="1"/>
  <c r="F78" i="4"/>
  <c r="H78" i="4" s="1"/>
  <c r="I78" i="4" s="1"/>
  <c r="L94" i="4" s="1"/>
  <c r="K9" i="12"/>
  <c r="D9" i="22" s="1"/>
  <c r="J9" i="12"/>
  <c r="F14" i="12"/>
  <c r="F61" i="4"/>
  <c r="H61" i="4" s="1"/>
  <c r="I61" i="4" s="1"/>
  <c r="F60" i="4"/>
  <c r="F13" i="12"/>
  <c r="F49" i="4"/>
  <c r="H50" i="4"/>
  <c r="I50" i="4" s="1"/>
  <c r="F26" i="4"/>
  <c r="F27" i="4"/>
  <c r="L89" i="4"/>
  <c r="H38" i="4"/>
  <c r="I38" i="4" s="1"/>
  <c r="L8" i="21"/>
  <c r="N8" i="2" s="1"/>
  <c r="I13" i="20" s="1"/>
  <c r="F20" i="12"/>
  <c r="I20" i="12" s="1"/>
  <c r="J19" i="12"/>
  <c r="K19" i="12"/>
  <c r="I67" i="4"/>
  <c r="I69" i="4" s="1"/>
  <c r="L79" i="4"/>
  <c r="F18" i="12"/>
  <c r="I18" i="12" s="1"/>
  <c r="K18" i="12" s="1"/>
  <c r="N17" i="1" s="1"/>
  <c r="H79" i="4" l="1"/>
  <c r="F79" i="4"/>
  <c r="H60" i="4"/>
  <c r="I60" i="4" s="1"/>
  <c r="I62" i="4" s="1"/>
  <c r="F62" i="4"/>
  <c r="J13" i="20"/>
  <c r="H27" i="4"/>
  <c r="F32" i="4"/>
  <c r="I77" i="4"/>
  <c r="I70" i="4"/>
  <c r="X13" i="4" s="1"/>
  <c r="U13" i="4" s="1"/>
  <c r="H49" i="4"/>
  <c r="F51" i="4"/>
  <c r="F39" i="4"/>
  <c r="H34" i="4"/>
  <c r="K14" i="4"/>
  <c r="F92" i="4"/>
  <c r="H26" i="4"/>
  <c r="H11" i="4"/>
  <c r="I11" i="4" s="1"/>
  <c r="K20" i="12"/>
  <c r="J20" i="12"/>
  <c r="J18" i="12"/>
  <c r="K17" i="12"/>
  <c r="X15" i="4" l="1"/>
  <c r="I79" i="4"/>
  <c r="I80" i="4" s="1"/>
  <c r="L96" i="4" s="1"/>
  <c r="L97" i="4" s="1"/>
  <c r="I49" i="4"/>
  <c r="H51" i="4"/>
  <c r="I34" i="4"/>
  <c r="H39" i="4"/>
  <c r="I27" i="4"/>
  <c r="I26" i="4"/>
  <c r="H32" i="4"/>
  <c r="R15" i="1"/>
  <c r="H15" i="1"/>
  <c r="I51" i="4" l="1"/>
  <c r="I52" i="4" s="1"/>
  <c r="X11" i="4" s="1"/>
  <c r="U11" i="4" s="1"/>
  <c r="I32" i="4"/>
  <c r="I33" i="4" s="1"/>
  <c r="X9" i="4" s="1"/>
  <c r="U9" i="4" s="1"/>
  <c r="I39" i="4"/>
  <c r="I40" i="4" l="1"/>
  <c r="X10" i="4" s="1"/>
  <c r="U10" i="4" s="1"/>
  <c r="R14" i="1"/>
  <c r="H14" i="1"/>
  <c r="I15" i="12" l="1"/>
  <c r="J15" i="12" s="1"/>
  <c r="K15" i="12" l="1"/>
  <c r="F21" i="18" l="1"/>
  <c r="F22" i="18" s="1"/>
  <c r="F23" i="18" s="1"/>
  <c r="F24" i="18" s="1"/>
  <c r="F25" i="18" s="1"/>
  <c r="F26" i="18" s="1"/>
  <c r="F27" i="18" s="1"/>
  <c r="F28" i="18" s="1"/>
  <c r="F29" i="18" s="1"/>
  <c r="F30" i="18" s="1"/>
  <c r="F31" i="18" s="1"/>
  <c r="F32" i="18" s="1"/>
  <c r="F9" i="18"/>
  <c r="F10" i="18" s="1"/>
  <c r="F11" i="18" s="1"/>
  <c r="F12" i="18" s="1"/>
  <c r="F13" i="18" s="1"/>
  <c r="F14" i="18" s="1"/>
  <c r="F15" i="18" s="1"/>
  <c r="F16" i="18" s="1"/>
  <c r="F17" i="18" s="1"/>
  <c r="F18" i="18" s="1"/>
  <c r="F19" i="18" s="1"/>
  <c r="F20" i="18" s="1"/>
  <c r="R13" i="1" l="1"/>
  <c r="H13" i="1"/>
  <c r="I14" i="12" l="1"/>
  <c r="K14" i="12" l="1"/>
  <c r="J14" i="12"/>
  <c r="R12" i="1"/>
  <c r="H12" i="1"/>
  <c r="I13" i="12" l="1"/>
  <c r="J13" i="12" s="1"/>
  <c r="K13" i="12" l="1"/>
  <c r="Y7" i="4" l="1"/>
  <c r="Y8" i="4"/>
  <c r="Y9" i="4"/>
  <c r="Y11" i="4"/>
  <c r="Y12" i="4"/>
  <c r="Y13" i="4"/>
  <c r="Y17" i="4"/>
  <c r="Y18" i="4"/>
  <c r="O11" i="13"/>
  <c r="O12" i="13"/>
  <c r="O13" i="13"/>
  <c r="O14" i="13"/>
  <c r="O15" i="13"/>
  <c r="O16" i="13"/>
  <c r="O17" i="13"/>
  <c r="O18" i="13"/>
  <c r="O10" i="13" l="1"/>
  <c r="L19" i="4"/>
  <c r="O9" i="13"/>
  <c r="O7" i="13"/>
  <c r="O8" i="13"/>
  <c r="O6" i="13"/>
  <c r="R11" i="1" l="1"/>
  <c r="H11" i="1"/>
  <c r="J12" i="12" l="1"/>
  <c r="H10" i="1" l="1"/>
  <c r="F11" i="12" l="1"/>
  <c r="I11" i="12" s="1"/>
  <c r="K11" i="12" l="1"/>
  <c r="J11" i="12"/>
  <c r="N19" i="1" l="1"/>
  <c r="N10" i="1"/>
  <c r="N12" i="1"/>
  <c r="N13" i="1"/>
  <c r="N14" i="1"/>
  <c r="D15" i="22" s="1"/>
  <c r="N16" i="1"/>
  <c r="D17" i="22" s="1"/>
  <c r="N18" i="1"/>
  <c r="H69" i="4" l="1"/>
  <c r="H62" i="4"/>
  <c r="L32" i="4" l="1"/>
  <c r="H31" i="13"/>
  <c r="I8" i="12" l="1"/>
  <c r="K8" i="12" s="1"/>
  <c r="J8" i="12" l="1"/>
  <c r="H52" i="13"/>
  <c r="D52" i="13"/>
  <c r="H49" i="13"/>
  <c r="D49" i="13"/>
  <c r="H43" i="13"/>
  <c r="D43" i="13"/>
  <c r="H40" i="13"/>
  <c r="D40" i="13"/>
  <c r="H37" i="13"/>
  <c r="D37" i="13"/>
  <c r="H34" i="13"/>
  <c r="D34" i="13"/>
  <c r="D31" i="13"/>
  <c r="H32" i="13" s="1"/>
  <c r="N11" i="13" s="1"/>
  <c r="H28" i="13"/>
  <c r="D28" i="13"/>
  <c r="H25" i="13"/>
  <c r="D25" i="13"/>
  <c r="H44" i="13" l="1"/>
  <c r="N15" i="13" s="1"/>
  <c r="H29" i="13"/>
  <c r="N10" i="13" s="1"/>
  <c r="H41" i="13"/>
  <c r="N14" i="13" s="1"/>
  <c r="H26" i="13"/>
  <c r="N9" i="13" s="1"/>
  <c r="H38" i="13"/>
  <c r="N13" i="13" s="1"/>
  <c r="H47" i="13"/>
  <c r="N16" i="13" s="1"/>
  <c r="H53" i="13"/>
  <c r="N18" i="13" s="1"/>
  <c r="H50" i="13"/>
  <c r="N17" i="13" s="1"/>
  <c r="H35" i="13"/>
  <c r="N12" i="13" s="1"/>
  <c r="P19" i="1" l="1"/>
  <c r="G65" i="15"/>
  <c r="H65" i="15"/>
  <c r="I65" i="15"/>
  <c r="E50" i="15"/>
  <c r="E65" i="18" s="1"/>
  <c r="F50" i="15"/>
  <c r="G50" i="15"/>
  <c r="E55" i="15"/>
  <c r="E66" i="18" s="1"/>
  <c r="G55" i="15"/>
  <c r="H55" i="15"/>
  <c r="I55" i="15"/>
  <c r="E60" i="15"/>
  <c r="E67" i="18" s="1"/>
  <c r="G60" i="15"/>
  <c r="I60" i="15"/>
  <c r="F25" i="15"/>
  <c r="P11" i="1" s="1"/>
  <c r="G25" i="15"/>
  <c r="I25" i="15"/>
  <c r="G30" i="15"/>
  <c r="H30" i="15"/>
  <c r="I30" i="15"/>
  <c r="G35" i="15"/>
  <c r="H35" i="15"/>
  <c r="I35" i="15"/>
  <c r="G40" i="15"/>
  <c r="H40" i="15"/>
  <c r="P15" i="1"/>
  <c r="G45" i="15"/>
  <c r="H45" i="15"/>
  <c r="I45" i="15"/>
  <c r="I15" i="15"/>
  <c r="H15" i="15"/>
  <c r="G20" i="15"/>
  <c r="F19" i="1" l="1"/>
  <c r="P16" i="1"/>
  <c r="F15" i="1"/>
  <c r="F18" i="1"/>
  <c r="F14" i="1"/>
  <c r="P14" i="1"/>
  <c r="P18" i="1"/>
  <c r="F17" i="1"/>
  <c r="P17" i="1"/>
  <c r="F16" i="1"/>
  <c r="F13" i="1"/>
  <c r="P12" i="1"/>
  <c r="P13" i="1"/>
  <c r="F12" i="1"/>
  <c r="P10" i="1"/>
  <c r="F11" i="1"/>
  <c r="F10" i="1"/>
  <c r="I63" i="4" l="1"/>
  <c r="X12" i="4" s="1"/>
  <c r="U12" i="4" s="1"/>
  <c r="I10" i="15"/>
  <c r="H10" i="15"/>
  <c r="F7" i="13"/>
  <c r="F8" i="13"/>
  <c r="F9" i="13"/>
  <c r="F10" i="13"/>
  <c r="F11" i="13"/>
  <c r="F12" i="13"/>
  <c r="F13" i="13"/>
  <c r="F14" i="13"/>
  <c r="F15" i="13"/>
  <c r="F6" i="13"/>
  <c r="F16" i="13" l="1"/>
  <c r="L92" i="4" l="1"/>
  <c r="L121" i="4" s="1"/>
  <c r="L81" i="4"/>
  <c r="G7" i="13"/>
  <c r="H7" i="13" s="1"/>
  <c r="G8" i="13"/>
  <c r="H8" i="13" s="1"/>
  <c r="G9" i="13"/>
  <c r="H9" i="13" s="1"/>
  <c r="G10" i="13"/>
  <c r="H10" i="13" s="1"/>
  <c r="G11" i="13"/>
  <c r="H11" i="13" s="1"/>
  <c r="G12" i="13"/>
  <c r="H12" i="13" s="1"/>
  <c r="G13" i="13"/>
  <c r="H13" i="13" s="1"/>
  <c r="G14" i="13"/>
  <c r="H14" i="13" s="1"/>
  <c r="G15" i="13"/>
  <c r="H15" i="13" s="1"/>
  <c r="G6" i="13"/>
  <c r="H6" i="13" s="1"/>
  <c r="H16" i="13" l="1"/>
  <c r="G16" i="13"/>
  <c r="H9" i="1" l="1"/>
  <c r="H8" i="1"/>
  <c r="D10" i="3"/>
  <c r="D8" i="3"/>
  <c r="G10" i="15"/>
  <c r="L7" i="21"/>
  <c r="N7" i="2" s="1"/>
  <c r="E57" i="18"/>
  <c r="D57" i="18" l="1"/>
  <c r="F57" i="18" s="1"/>
  <c r="D68" i="18"/>
  <c r="D67" i="18"/>
  <c r="D66" i="18"/>
  <c r="D65" i="18"/>
  <c r="D64" i="18"/>
  <c r="D63" i="18"/>
  <c r="D62" i="18"/>
  <c r="D61" i="18"/>
  <c r="D59" i="18"/>
  <c r="D58" i="18"/>
  <c r="D60" i="18"/>
  <c r="F9" i="1"/>
  <c r="F33" i="18"/>
  <c r="F34" i="18" s="1"/>
  <c r="F35" i="18" s="1"/>
  <c r="F36" i="18" s="1"/>
  <c r="F37" i="18" s="1"/>
  <c r="F38" i="18" s="1"/>
  <c r="F39" i="18" s="1"/>
  <c r="F40" i="18" s="1"/>
  <c r="F41" i="18" s="1"/>
  <c r="F42" i="18" s="1"/>
  <c r="F43" i="18" s="1"/>
  <c r="F44" i="18" s="1"/>
  <c r="F45" i="18"/>
  <c r="F46" i="18" s="1"/>
  <c r="F47" i="18" s="1"/>
  <c r="F48" i="18" s="1"/>
  <c r="F49" i="18" s="1"/>
  <c r="F50" i="18" s="1"/>
  <c r="F51" i="18" s="1"/>
  <c r="F52" i="18" s="1"/>
  <c r="F53" i="18" s="1"/>
  <c r="F54" i="18" s="1"/>
  <c r="F55" i="18" s="1"/>
  <c r="F56" i="18" s="1"/>
  <c r="I10" i="12"/>
  <c r="F8" i="1"/>
  <c r="C7" i="2"/>
  <c r="P9" i="1"/>
  <c r="D22" i="13"/>
  <c r="D16" i="13"/>
  <c r="F58" i="18" l="1"/>
  <c r="F59" i="18" s="1"/>
  <c r="F60" i="18" s="1"/>
  <c r="F61" i="18" s="1"/>
  <c r="F62" i="18" s="1"/>
  <c r="F63" i="18" s="1"/>
  <c r="F64" i="18" s="1"/>
  <c r="F65" i="18" s="1"/>
  <c r="F66" i="18" s="1"/>
  <c r="K10" i="12"/>
  <c r="N9" i="1" s="1"/>
  <c r="J10" i="12"/>
  <c r="F67" i="18" l="1"/>
  <c r="H22" i="13"/>
  <c r="H23" i="13" s="1"/>
  <c r="N8" i="13" s="1"/>
  <c r="H17" i="13" l="1"/>
  <c r="N6" i="13" s="1"/>
  <c r="K7" i="13" s="1"/>
  <c r="C8" i="1" s="1"/>
  <c r="D15" i="1"/>
  <c r="K6" i="13" l="1"/>
  <c r="D16" i="1"/>
  <c r="D11" i="1"/>
  <c r="D10" i="1"/>
  <c r="D12" i="1"/>
  <c r="D14" i="1"/>
  <c r="D17" i="1"/>
  <c r="D13" i="1"/>
  <c r="D23" i="3" l="1"/>
  <c r="D18" i="3"/>
  <c r="D12" i="3"/>
  <c r="D13" i="3" s="1"/>
  <c r="E7" i="2" s="1"/>
  <c r="E8" i="2" l="1"/>
  <c r="F8" i="2" s="1"/>
  <c r="H8" i="2" s="1"/>
  <c r="K8" i="2" s="1"/>
  <c r="G11" i="20" s="1"/>
  <c r="E12" i="2"/>
  <c r="E16" i="2"/>
  <c r="F16" i="2" s="1"/>
  <c r="H16" i="2" s="1"/>
  <c r="K16" i="2" s="1"/>
  <c r="E10" i="2"/>
  <c r="F10" i="2" s="1"/>
  <c r="H10" i="2" s="1"/>
  <c r="E18" i="2"/>
  <c r="E11" i="2"/>
  <c r="F11" i="2" s="1"/>
  <c r="H11" i="2" s="1"/>
  <c r="E9" i="2"/>
  <c r="F9" i="2" s="1"/>
  <c r="H9" i="2" s="1"/>
  <c r="E13" i="2"/>
  <c r="F13" i="2" s="1"/>
  <c r="H13" i="2" s="1"/>
  <c r="E17" i="2"/>
  <c r="E15" i="2"/>
  <c r="E14" i="2"/>
  <c r="F14" i="2" s="1"/>
  <c r="H14" i="2" s="1"/>
  <c r="F7" i="2"/>
  <c r="K8" i="13"/>
  <c r="C9" i="1" s="1"/>
  <c r="P18" i="2"/>
  <c r="P17" i="2"/>
  <c r="P16" i="2"/>
  <c r="P15" i="2"/>
  <c r="P14" i="2"/>
  <c r="P13" i="2"/>
  <c r="F18" i="2"/>
  <c r="H18" i="2" s="1"/>
  <c r="G31" i="20" s="1"/>
  <c r="I31" i="20" s="1"/>
  <c r="J31" i="20" s="1"/>
  <c r="F17" i="2"/>
  <c r="H17" i="2" s="1"/>
  <c r="G29" i="20" s="1"/>
  <c r="F15" i="2"/>
  <c r="H15" i="2" s="1"/>
  <c r="P12" i="2"/>
  <c r="P11" i="2"/>
  <c r="F12" i="2"/>
  <c r="H12" i="2" s="1"/>
  <c r="P10" i="2"/>
  <c r="P9" i="2"/>
  <c r="P7" i="2"/>
  <c r="I29" i="20" l="1"/>
  <c r="J29" i="20" s="1"/>
  <c r="I11" i="20"/>
  <c r="J11" i="20" s="1"/>
  <c r="R9" i="20"/>
  <c r="K17" i="2"/>
  <c r="K18" i="2"/>
  <c r="K13" i="2"/>
  <c r="G21" i="20" s="1"/>
  <c r="K9" i="2"/>
  <c r="G14" i="20" s="1"/>
  <c r="R10" i="20" s="1"/>
  <c r="K14" i="2"/>
  <c r="G23" i="20" s="1"/>
  <c r="K15" i="2"/>
  <c r="G25" i="20" s="1"/>
  <c r="K11" i="2"/>
  <c r="G17" i="20" s="1"/>
  <c r="K12" i="2"/>
  <c r="G19" i="20" s="1"/>
  <c r="K10" i="2"/>
  <c r="G15" i="20" s="1"/>
  <c r="K9" i="13"/>
  <c r="C10" i="1" s="1"/>
  <c r="K7" i="2"/>
  <c r="G7" i="20" s="1"/>
  <c r="I21" i="20" l="1"/>
  <c r="J21" i="20" s="1"/>
  <c r="I23" i="20"/>
  <c r="J23" i="20"/>
  <c r="I25" i="20"/>
  <c r="J25" i="20" s="1"/>
  <c r="I17" i="20"/>
  <c r="J17" i="20"/>
  <c r="I19" i="20"/>
  <c r="J19" i="20" s="1"/>
  <c r="R11" i="20"/>
  <c r="I15" i="20"/>
  <c r="M11" i="20"/>
  <c r="R12" i="20"/>
  <c r="I7" i="20"/>
  <c r="M7" i="20"/>
  <c r="M13" i="20"/>
  <c r="R14" i="20"/>
  <c r="M10" i="20"/>
  <c r="I14" i="20"/>
  <c r="S10" i="20" s="1"/>
  <c r="T10" i="20" s="1"/>
  <c r="M9" i="20"/>
  <c r="M12" i="20"/>
  <c r="R13" i="20"/>
  <c r="N8" i="1"/>
  <c r="E9" i="1"/>
  <c r="G9" i="1" s="1"/>
  <c r="I9" i="1" s="1"/>
  <c r="L8" i="2" s="1"/>
  <c r="H21" i="4"/>
  <c r="I21" i="4" s="1"/>
  <c r="I24" i="4" s="1"/>
  <c r="I25" i="4" s="1"/>
  <c r="E10" i="1"/>
  <c r="G10" i="1" s="1"/>
  <c r="I10" i="1" s="1"/>
  <c r="L9" i="2" s="1"/>
  <c r="K10" i="13"/>
  <c r="C11" i="1" s="1"/>
  <c r="S11" i="20" l="1"/>
  <c r="T11" i="20" s="1"/>
  <c r="J15" i="20"/>
  <c r="J14" i="20"/>
  <c r="N9" i="20"/>
  <c r="O9" i="20" s="1"/>
  <c r="N10" i="20"/>
  <c r="O10" i="20" s="1"/>
  <c r="J7" i="20"/>
  <c r="N7" i="20"/>
  <c r="O7" i="20" s="1"/>
  <c r="S14" i="20"/>
  <c r="T14" i="20" s="1"/>
  <c r="N13" i="20"/>
  <c r="O13" i="20" s="1"/>
  <c r="N12" i="20"/>
  <c r="O12" i="20" s="1"/>
  <c r="S13" i="20"/>
  <c r="T13" i="20" s="1"/>
  <c r="S12" i="20"/>
  <c r="T12" i="20" s="1"/>
  <c r="N11" i="20"/>
  <c r="O11" i="20" s="1"/>
  <c r="X8" i="4"/>
  <c r="U8" i="4" s="1"/>
  <c r="H24" i="4"/>
  <c r="K11" i="13"/>
  <c r="E11" i="1"/>
  <c r="G11" i="1" s="1"/>
  <c r="I11" i="1" s="1"/>
  <c r="L10" i="2" s="1"/>
  <c r="H18" i="4"/>
  <c r="C12" i="1" l="1"/>
  <c r="E12" i="1" s="1"/>
  <c r="G12" i="1" s="1"/>
  <c r="I12" i="1" s="1"/>
  <c r="L11" i="2" s="1"/>
  <c r="K12" i="13"/>
  <c r="K13" i="13" s="1"/>
  <c r="K14" i="13" s="1"/>
  <c r="K15" i="13" s="1"/>
  <c r="K16" i="13" s="1"/>
  <c r="K17" i="13" s="1"/>
  <c r="K18" i="13" s="1"/>
  <c r="C19" i="1" s="1"/>
  <c r="E19" i="1" s="1"/>
  <c r="C13" i="1" l="1"/>
  <c r="E13" i="1" s="1"/>
  <c r="G13" i="1" s="1"/>
  <c r="I13" i="1" s="1"/>
  <c r="L12" i="2" s="1"/>
  <c r="C14" i="1"/>
  <c r="E14" i="1" s="1"/>
  <c r="D8" i="1"/>
  <c r="E8" i="1" s="1"/>
  <c r="G8" i="1" s="1"/>
  <c r="G14" i="1" l="1"/>
  <c r="I14" i="1" s="1"/>
  <c r="I8" i="1"/>
  <c r="L7" i="2" s="1"/>
  <c r="L13" i="2" l="1"/>
  <c r="C16" i="1"/>
  <c r="E15" i="1"/>
  <c r="G15" i="1" s="1"/>
  <c r="I15" i="1" s="1"/>
  <c r="L14" i="2" s="1"/>
  <c r="C17" i="1" l="1"/>
  <c r="E16" i="1"/>
  <c r="G16" i="1" s="1"/>
  <c r="I16" i="1" s="1"/>
  <c r="L15" i="2" s="1"/>
  <c r="E17" i="1" l="1"/>
  <c r="G17" i="1" s="1"/>
  <c r="I17" i="1" s="1"/>
  <c r="L16" i="2" s="1"/>
  <c r="G18" i="1" l="1"/>
  <c r="I18" i="1" s="1"/>
  <c r="L17" i="2" s="1"/>
  <c r="G19" i="1"/>
  <c r="I19" i="1" s="1"/>
  <c r="L18" i="2" s="1"/>
  <c r="M9" i="1" l="1"/>
  <c r="O9" i="1" s="1"/>
  <c r="Q9" i="1" s="1"/>
  <c r="S9" i="1" s="1"/>
  <c r="M8" i="2" s="1"/>
  <c r="M10" i="1" l="1"/>
  <c r="O10" i="1" s="1"/>
  <c r="Q10" i="1" s="1"/>
  <c r="S10" i="1" s="1"/>
  <c r="M9" i="2" s="1"/>
  <c r="I12" i="20"/>
  <c r="S9" i="20" s="1"/>
  <c r="T9" i="20" s="1"/>
  <c r="M8" i="20"/>
  <c r="R8" i="20"/>
  <c r="O8" i="2"/>
  <c r="Q8" i="2" s="1"/>
  <c r="O9" i="2" l="1"/>
  <c r="Q9" i="2" s="1"/>
  <c r="M11" i="1"/>
  <c r="J12" i="20"/>
  <c r="S8" i="20"/>
  <c r="N8" i="20"/>
  <c r="M13" i="1" l="1"/>
  <c r="O13" i="1" s="1"/>
  <c r="Q13" i="1" s="1"/>
  <c r="S13" i="1" s="1"/>
  <c r="M12" i="2" s="1"/>
  <c r="O12" i="2" s="1"/>
  <c r="Q12" i="2" s="1"/>
  <c r="M12" i="1"/>
  <c r="O12" i="1" s="1"/>
  <c r="Q12" i="1" s="1"/>
  <c r="S12" i="1" s="1"/>
  <c r="O11" i="1"/>
  <c r="Q11" i="1" s="1"/>
  <c r="S11" i="1" s="1"/>
  <c r="O8" i="20"/>
  <c r="T8" i="20"/>
  <c r="N14" i="4"/>
  <c r="M11" i="2" l="1"/>
  <c r="O11" i="2" s="1"/>
  <c r="Q11" i="2" s="1"/>
  <c r="M10" i="2"/>
  <c r="O10" i="2" s="1"/>
  <c r="Q10" i="2" s="1"/>
  <c r="I18" i="4"/>
  <c r="I19" i="4" s="1"/>
  <c r="X7" i="4" s="1"/>
  <c r="U7" i="4" s="1"/>
  <c r="M14" i="1"/>
  <c r="O14" i="1" l="1"/>
  <c r="C15" i="22"/>
  <c r="M8" i="1"/>
  <c r="O8" i="1" s="1"/>
  <c r="Q8" i="1" s="1"/>
  <c r="S8" i="1" s="1"/>
  <c r="M7" i="2" s="1"/>
  <c r="O7" i="2" s="1"/>
  <c r="Q7" i="2" s="1"/>
  <c r="C9" i="22"/>
  <c r="E9" i="22" s="1"/>
  <c r="G9" i="22" s="1"/>
  <c r="I9" i="22" s="1"/>
  <c r="K9" i="22" s="1"/>
  <c r="O15" i="1"/>
  <c r="Q15" i="1" l="1"/>
  <c r="S15" i="1" s="1"/>
  <c r="M14" i="2" s="1"/>
  <c r="G24" i="20" s="1"/>
  <c r="E16" i="22"/>
  <c r="G16" i="22" s="1"/>
  <c r="I16" i="22" s="1"/>
  <c r="K16" i="22" s="1"/>
  <c r="Q14" i="1"/>
  <c r="E15" i="22"/>
  <c r="G15" i="22" s="1"/>
  <c r="I15" i="22" s="1"/>
  <c r="K15" i="22" s="1"/>
  <c r="M16" i="1"/>
  <c r="I24" i="20" l="1"/>
  <c r="J24" i="20" s="1"/>
  <c r="O16" i="1"/>
  <c r="C17" i="22"/>
  <c r="O14" i="2"/>
  <c r="Q14" i="2" s="1"/>
  <c r="S14" i="1"/>
  <c r="M13" i="2" s="1"/>
  <c r="O13" i="2" s="1"/>
  <c r="Q13" i="2" s="1"/>
  <c r="M18" i="1"/>
  <c r="O18" i="1" s="1"/>
  <c r="Q18" i="1" s="1"/>
  <c r="S18" i="1" s="1"/>
  <c r="M17" i="2" s="1"/>
  <c r="M19" i="1"/>
  <c r="O19" i="1" s="1"/>
  <c r="Q19" i="1" s="1"/>
  <c r="S19" i="1" s="1"/>
  <c r="M17" i="1"/>
  <c r="O17" i="1" s="1"/>
  <c r="Q17" i="1" s="1"/>
  <c r="S17" i="1" s="1"/>
  <c r="M16" i="2" s="1"/>
  <c r="G28" i="20" s="1"/>
  <c r="O18" i="2" l="1"/>
  <c r="Q18" i="2" s="1"/>
  <c r="G32" i="20"/>
  <c r="I28" i="20"/>
  <c r="S17" i="20" s="1"/>
  <c r="J28" i="20"/>
  <c r="R17" i="20"/>
  <c r="O17" i="2"/>
  <c r="Q17" i="2" s="1"/>
  <c r="G30" i="20"/>
  <c r="O16" i="2"/>
  <c r="Q16" i="2" s="1"/>
  <c r="Q16" i="1"/>
  <c r="S16" i="1" s="1"/>
  <c r="M15" i="2" s="1"/>
  <c r="G26" i="20" s="1"/>
  <c r="E17" i="22"/>
  <c r="I17" i="22" s="1"/>
  <c r="K17" i="22" s="1"/>
  <c r="M14" i="20"/>
  <c r="R15" i="20"/>
  <c r="M18" i="20" l="1"/>
  <c r="I32" i="20"/>
  <c r="T17" i="20"/>
  <c r="I26" i="20"/>
  <c r="J26" i="20" s="1"/>
  <c r="R18" i="20"/>
  <c r="I30" i="20"/>
  <c r="M17" i="20"/>
  <c r="N16" i="20"/>
  <c r="M16" i="20"/>
  <c r="O15" i="2"/>
  <c r="Q15" i="2" s="1"/>
  <c r="N14" i="20"/>
  <c r="S15" i="20"/>
  <c r="N18" i="20" l="1"/>
  <c r="O18" i="20" s="1"/>
  <c r="J32" i="20"/>
  <c r="N17" i="20"/>
  <c r="O17" i="20" s="1"/>
  <c r="S18" i="20"/>
  <c r="T18" i="20" s="1"/>
  <c r="J30" i="20"/>
  <c r="O16" i="20"/>
  <c r="M15" i="20"/>
  <c r="M19" i="20" s="1"/>
  <c r="R16" i="20"/>
  <c r="T15" i="20"/>
  <c r="O14" i="20"/>
  <c r="R19" i="20" l="1"/>
  <c r="N15" i="20"/>
  <c r="S16" i="20"/>
  <c r="S19" i="20" s="1"/>
  <c r="O15" i="20" l="1"/>
  <c r="O19" i="20" s="1"/>
  <c r="N19" i="20"/>
  <c r="T16" i="20"/>
  <c r="T19" i="2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Kauane Araujo Silva</author>
    <author>Emy Moromizato</author>
  </authors>
  <commentList>
    <comment ref="H10" authorId="0" shapeId="0" xr:uid="{9BFFD120-9123-43CD-B593-7478F15746F9}">
      <text>
        <r>
          <rPr>
            <b/>
            <sz val="9"/>
            <color indexed="81"/>
            <rFont val="Segoe UI"/>
            <family val="2"/>
          </rPr>
          <t>CDE:</t>
        </r>
        <r>
          <rPr>
            <sz val="9"/>
            <color indexed="81"/>
            <rFont val="Segoe UI"/>
            <family val="2"/>
          </rPr>
          <t xml:space="preserve">
Valor não foi publicado até 11
11/07/2025.</t>
        </r>
      </text>
    </comment>
    <comment ref="H16" authorId="0" shapeId="0" xr:uid="{1B35613C-E723-4213-A349-0C0B9C84C46D}">
      <text>
        <r>
          <rPr>
            <b/>
            <sz val="9"/>
            <color indexed="81"/>
            <rFont val="Segoe UI"/>
            <family val="2"/>
          </rPr>
          <t>CDE:</t>
        </r>
        <r>
          <rPr>
            <sz val="9"/>
            <color indexed="81"/>
            <rFont val="Segoe UI"/>
            <family val="2"/>
          </rPr>
          <t xml:space="preserve">
Valor não foi publicado até 11
11/07/2025.</t>
        </r>
      </text>
    </comment>
    <comment ref="G18" authorId="1" shapeId="0" xr:uid="{B9C5EB19-AD9F-4E35-99F4-B09D7E68603C}">
      <text>
        <r>
          <rPr>
            <b/>
            <sz val="9"/>
            <color indexed="81"/>
            <rFont val="Segoe UI"/>
            <family val="2"/>
          </rPr>
          <t>Média ponderada pois não foi publicado o valor dos últimos dias</t>
        </r>
      </text>
    </comment>
    <comment ref="G22" authorId="1" shapeId="0" xr:uid="{E5A23710-0ECD-4DCB-B65E-4BD2BB8C188E}">
      <text>
        <r>
          <rPr>
            <b/>
            <sz val="9"/>
            <color indexed="81"/>
            <rFont val="Segoe UI"/>
            <charset val="1"/>
          </rPr>
          <t>Média ponderada pois não foi publicado o valor dos últimos dias</t>
        </r>
      </text>
    </comment>
    <comment ref="G24" authorId="1" shapeId="0" xr:uid="{70718801-2B31-4241-93AA-56536E581843}">
      <text>
        <r>
          <rPr>
            <b/>
            <sz val="9"/>
            <color indexed="81"/>
            <rFont val="Segoe UI"/>
            <charset val="1"/>
          </rPr>
          <t>Média ponderada pois não foi publicado o valor dos últimos dias</t>
        </r>
      </text>
    </comment>
    <comment ref="E26" authorId="1" shapeId="0" xr:uid="{9D93CC04-AF3A-4209-BA7F-91903CB808F5}">
      <text>
        <r>
          <rPr>
            <b/>
            <sz val="9"/>
            <color indexed="81"/>
            <rFont val="Segoe UI"/>
            <charset val="1"/>
          </rPr>
          <t>Média Ponderada pois não foi publicado o valor do dia 10/11/25 a 26/11/25</t>
        </r>
      </text>
    </comment>
  </commentList>
</comments>
</file>

<file path=xl/sharedStrings.xml><?xml version="1.0" encoding="utf-8"?>
<sst xmlns="http://schemas.openxmlformats.org/spreadsheetml/2006/main" count="1272" uniqueCount="389">
  <si>
    <t>Calculado  ANP</t>
  </si>
  <si>
    <t>Utilizado para Reembolso (R$)</t>
  </si>
  <si>
    <t>Qtde SCE (kg)</t>
  </si>
  <si>
    <t>Preço Unitário Líquido</t>
  </si>
  <si>
    <t>ÓLEO COMBUSTÍVEL</t>
  </si>
  <si>
    <t>ÓLEO DIESEL</t>
  </si>
  <si>
    <t>% Eficiência Energética</t>
  </si>
  <si>
    <t>Subtotal (R$)</t>
  </si>
  <si>
    <t>Valor Unit (R$)</t>
  </si>
  <si>
    <t>Qtde comprada ajustada (t)</t>
  </si>
  <si>
    <t>Desconto de estoques anos anteriores (t) [2]</t>
  </si>
  <si>
    <t>Total (RS)</t>
  </si>
  <si>
    <t>Nº Rep</t>
  </si>
  <si>
    <t>TOTAL (R$)</t>
  </si>
  <si>
    <t>Total Carvão</t>
  </si>
  <si>
    <t>Total Óleo Diesel</t>
  </si>
  <si>
    <t>Limite Reembolso [3]</t>
  </si>
  <si>
    <t>Total Geral</t>
  </si>
  <si>
    <t xml:space="preserve">TOTAL REEMBOLSO CDE </t>
  </si>
  <si>
    <t>Referência</t>
  </si>
  <si>
    <t>Estoque Histórico (t)</t>
  </si>
  <si>
    <t>1/5 Estoque Histórico (t)</t>
  </si>
  <si>
    <t>1/12 de 1/5 Estoque Histórico (t)</t>
  </si>
  <si>
    <t xml:space="preserve">Ano </t>
  </si>
  <si>
    <t>1/12 Estoque ano anterior (t)</t>
  </si>
  <si>
    <t xml:space="preserve">Estoque estratégico </t>
  </si>
  <si>
    <t>1/12 Estoque estratégico</t>
  </si>
  <si>
    <t>Compra mínima</t>
  </si>
  <si>
    <t>Total de Reembolso (2013/14/15)</t>
  </si>
  <si>
    <t>2013/14/15 atualizados IPCA</t>
  </si>
  <si>
    <t>1/12 Total Reembolso</t>
  </si>
  <si>
    <t>Aplicação / Mês</t>
  </si>
  <si>
    <t>Motivo(s)</t>
  </si>
  <si>
    <t>Nº Reproc</t>
  </si>
  <si>
    <t>SAÍDA DE CAIXA</t>
  </si>
  <si>
    <t>Óleo Combustível</t>
  </si>
  <si>
    <t>Mês</t>
  </si>
  <si>
    <t>Semana 1</t>
  </si>
  <si>
    <t>Semana 2</t>
  </si>
  <si>
    <t>Semana 3</t>
  </si>
  <si>
    <t>Semana 4</t>
  </si>
  <si>
    <t>Semana 5</t>
  </si>
  <si>
    <t>Semana 6</t>
  </si>
  <si>
    <t>Média Ponderada Semana</t>
  </si>
  <si>
    <t>Preço  ANP Líq.</t>
  </si>
  <si>
    <t>Óleo Diesel</t>
  </si>
  <si>
    <t>Margem Distribuição</t>
  </si>
  <si>
    <t>Margem Média de Revenda</t>
  </si>
  <si>
    <t>Preço Médio Distribuição</t>
  </si>
  <si>
    <t>PREÇO ANP FINAL</t>
  </si>
  <si>
    <t>nº dias</t>
  </si>
  <si>
    <t>Combustível</t>
  </si>
  <si>
    <t>Data Pagamento ou Desconto</t>
  </si>
  <si>
    <t>Diferença</t>
  </si>
  <si>
    <t>Valor anterior</t>
  </si>
  <si>
    <t>Valor atual</t>
  </si>
  <si>
    <t>Diferença Atualizada</t>
  </si>
  <si>
    <t>COMPETÊNCIA</t>
  </si>
  <si>
    <t>Nº Reprocess (1)</t>
  </si>
  <si>
    <t>Média</t>
  </si>
  <si>
    <t>Valor sem ICMS</t>
  </si>
  <si>
    <t>Valor Líquido</t>
  </si>
  <si>
    <t>Valor PIS/COFINS</t>
  </si>
  <si>
    <t>Fornecedor</t>
  </si>
  <si>
    <t>Valor unitário</t>
  </si>
  <si>
    <t>N° NF</t>
  </si>
  <si>
    <t>Qtde (t)</t>
  </si>
  <si>
    <t>Valor total</t>
  </si>
  <si>
    <t>Total/Média</t>
  </si>
  <si>
    <t xml:space="preserve">Mês Referência: </t>
  </si>
  <si>
    <t>Valor ICMS</t>
  </si>
  <si>
    <t>Valor PIS COFINS</t>
  </si>
  <si>
    <t>Qtde (Kg)</t>
  </si>
  <si>
    <t>Total</t>
  </si>
  <si>
    <t>Preço Médio=</t>
  </si>
  <si>
    <t>Alíquota ICMS =</t>
  </si>
  <si>
    <t xml:space="preserve">Valor PIS/COFINS </t>
  </si>
  <si>
    <t>Data/Consumo</t>
  </si>
  <si>
    <t>Mês Referência</t>
  </si>
  <si>
    <t>Preço Médio</t>
  </si>
  <si>
    <t>Alíquota ICMS</t>
  </si>
  <si>
    <t>Usina</t>
  </si>
  <si>
    <t>UTEJLA1</t>
  </si>
  <si>
    <t>UTEJLA2</t>
  </si>
  <si>
    <t>UTEJLB</t>
  </si>
  <si>
    <t>UTEJLC</t>
  </si>
  <si>
    <t>Carvão (t)</t>
  </si>
  <si>
    <t>Óleo Diesel (m³)</t>
  </si>
  <si>
    <t>Óleo Combustível (t)</t>
  </si>
  <si>
    <t>TOTAL</t>
  </si>
  <si>
    <t>Ano</t>
  </si>
  <si>
    <t>COMPRA MÍNIMA VIGENTE</t>
  </si>
  <si>
    <t>COMPRA MÍNIMA 2002</t>
  </si>
  <si>
    <t>COMPRA MÍNIMA VIGENTE ANUAL</t>
  </si>
  <si>
    <t>COMPRA MÍNIMA 2002 ANUAL</t>
  </si>
  <si>
    <t>Qtde SCE (t)</t>
  </si>
  <si>
    <t>Valor ICMS (12%)</t>
  </si>
  <si>
    <t>PMPF 1a. quinzena</t>
  </si>
  <si>
    <t>PMPF 2a. quinzena</t>
  </si>
  <si>
    <t>Preço Médio ANP</t>
  </si>
  <si>
    <t>Envio das NF</t>
  </si>
  <si>
    <t>ICMS</t>
  </si>
  <si>
    <t>Valor PIS COFINS [1]</t>
  </si>
  <si>
    <t>[1] Não há PIS/COFINS nas NFs de Óleo Diesel</t>
  </si>
  <si>
    <t>Emissão</t>
  </si>
  <si>
    <t>Catarinense</t>
  </si>
  <si>
    <t>Belluno</t>
  </si>
  <si>
    <t>Gabriella</t>
  </si>
  <si>
    <t>Metropolitana</t>
  </si>
  <si>
    <t>Rio Deserto</t>
  </si>
  <si>
    <t>Janeiro</t>
  </si>
  <si>
    <t>Fevereiro</t>
  </si>
  <si>
    <t>Tributos</t>
  </si>
  <si>
    <t>Valor PIS COFINS OD</t>
  </si>
  <si>
    <t>Valor PIS COFINS OC</t>
  </si>
  <si>
    <t>Valor ICMS OD</t>
  </si>
  <si>
    <t>Valor ICMS OC</t>
  </si>
  <si>
    <t>Competência</t>
  </si>
  <si>
    <t>ICMS             Recuperado</t>
  </si>
  <si>
    <t>PIS/COFINS             Recuperado</t>
  </si>
  <si>
    <t>Consumo OD</t>
  </si>
  <si>
    <t>Consumo OC</t>
  </si>
  <si>
    <t>Valor Base</t>
  </si>
  <si>
    <t>Contrato</t>
  </si>
  <si>
    <t>Preço Ponderado</t>
  </si>
  <si>
    <t>Data Limite</t>
  </si>
  <si>
    <t xml:space="preserve">Atualização </t>
  </si>
  <si>
    <t>Atualização</t>
  </si>
  <si>
    <t>Índice(IPCA)</t>
  </si>
  <si>
    <t>Reembolso de Carvão Mineral - Diamante</t>
  </si>
  <si>
    <r>
      <t xml:space="preserve">[1] </t>
    </r>
    <r>
      <rPr>
        <sz val="11"/>
        <color rgb="FF0E2050"/>
        <rFont val="Calibri"/>
        <family val="2"/>
        <scheme val="minor"/>
      </rPr>
      <t>Qtde comprada não pode ser superior à compra mínima (quantidade comprada em 2002)</t>
    </r>
  </si>
  <si>
    <r>
      <rPr>
        <b/>
        <sz val="11"/>
        <color rgb="FF0E2050"/>
        <rFont val="Calibri"/>
        <family val="2"/>
        <scheme val="minor"/>
      </rPr>
      <t>[2]</t>
    </r>
    <r>
      <rPr>
        <sz val="11"/>
        <color rgb="FF0E2050"/>
        <rFont val="Calibri"/>
        <family val="2"/>
        <scheme val="minor"/>
      </rPr>
      <t xml:space="preserve"> Qtde comprada retirando-se 1/5 estoque histórico e estoque do ano anterior; e adicionando estoque estratégico (</t>
    </r>
    <r>
      <rPr>
        <sz val="11"/>
        <color rgb="FF0E2050"/>
        <rFont val="Calibri"/>
        <family val="2"/>
      </rPr>
      <t>§1°, art. 14 da REN 801/2017)</t>
    </r>
  </si>
  <si>
    <r>
      <t xml:space="preserve">[3] </t>
    </r>
    <r>
      <rPr>
        <sz val="11"/>
        <color rgb="FF0E2050"/>
        <rFont val="Calibri"/>
        <family val="2"/>
        <scheme val="minor"/>
      </rPr>
      <t>Limitado à media do reembolso atualizado efetuado em 2013/14/15 (inciso III, art. 14 da REN 801/2017)</t>
    </r>
  </si>
  <si>
    <t>Nota Fiscais  Óleo Combustível - Diamante</t>
  </si>
  <si>
    <t>Óleos Secundário - Diamante</t>
  </si>
  <si>
    <t>Nota Fiscais  Óleo Diesel - Diamante</t>
  </si>
  <si>
    <t xml:space="preserve">Pagamentos </t>
  </si>
  <si>
    <t>Valor Válido p/ Competência</t>
  </si>
  <si>
    <t>Não Recebido</t>
  </si>
  <si>
    <t>Apurado - Notas Fiscais Recebidas</t>
  </si>
  <si>
    <t>Mês de competência</t>
  </si>
  <si>
    <t>Valor</t>
  </si>
  <si>
    <t>Valor Total</t>
  </si>
  <si>
    <t>Valor pago/descontado</t>
  </si>
  <si>
    <t>Mês/Ano Caixa</t>
  </si>
  <si>
    <t>Mês/Ano Competência</t>
  </si>
  <si>
    <t>CAIXA</t>
  </si>
  <si>
    <t>Data de Pagamento</t>
  </si>
  <si>
    <t>Indice de Atualização (IPCA)</t>
  </si>
  <si>
    <t>Total Óleo Combustível</t>
  </si>
  <si>
    <t>Março</t>
  </si>
  <si>
    <t>Reprocessamento</t>
  </si>
  <si>
    <t>Cálculo ICMS</t>
  </si>
  <si>
    <t>Cálculo valor líquido</t>
  </si>
  <si>
    <t>Preço Líquido Médio</t>
  </si>
  <si>
    <t>Valor Reprocessamento</t>
  </si>
  <si>
    <t>TOTALIZADOR</t>
  </si>
  <si>
    <t>Data Limite envio NF</t>
  </si>
  <si>
    <t>Data envio  NF</t>
  </si>
  <si>
    <t>Status Entrega NF</t>
  </si>
  <si>
    <t>Valor Válido - Competência</t>
  </si>
  <si>
    <t>Informações colhidas no sítio eletrônico da ANP</t>
  </si>
  <si>
    <t>Significado cores colunas</t>
  </si>
  <si>
    <t>Datas, dados de Notas Fiscais e outros dados</t>
  </si>
  <si>
    <t>Dados retirados de outras abas da planilha</t>
  </si>
  <si>
    <t>Dados calculados</t>
  </si>
  <si>
    <t>Dados totalizadores</t>
  </si>
  <si>
    <t>Dados retirados de outras fontes</t>
  </si>
  <si>
    <t>Conteúdo das Abas</t>
  </si>
  <si>
    <t>NF carvão</t>
  </si>
  <si>
    <t>Secund</t>
  </si>
  <si>
    <t>NF Óleo Comb</t>
  </si>
  <si>
    <t>Carvâo &amp; Total</t>
  </si>
  <si>
    <t>ANP Óleo Comb</t>
  </si>
  <si>
    <t>NF Diesel</t>
  </si>
  <si>
    <t>ANP Diesel</t>
  </si>
  <si>
    <t>Parâmetros</t>
  </si>
  <si>
    <t>Reprocessamentos</t>
  </si>
  <si>
    <t>Financeiro</t>
  </si>
  <si>
    <t>SCD</t>
  </si>
  <si>
    <t>Resumo dos cálculos do reembolso do combustíveis secundários.</t>
  </si>
  <si>
    <t>Cálculos do valor de óleo combustível reembolsado, apurado por meio das Notas Fiscais, por competência mensal.</t>
  </si>
  <si>
    <t>Cálculos para obtenção do preço liquido ANP mensal.</t>
  </si>
  <si>
    <t>Cálculos do valor de óleo diesel reembolsado, apurado por meio das Notas Fiscais, por competência mensal.</t>
  </si>
  <si>
    <t>Reprocessamentos realizados no ano.</t>
  </si>
  <si>
    <t>Resumo de todos pagamentos realizados, por Regime de Competência e por Regime de Caixa.</t>
  </si>
  <si>
    <t>Verificar se houve carvão reembolsado e não consumido no ano.</t>
  </si>
  <si>
    <t>Informações de medição de geração e do consumo de carvão e dos combustíveis secundários registrados no SCD.</t>
  </si>
  <si>
    <t>Verificação da recuperação de tributos na compra de combustíveis para consideração no cálculo do reembolso.</t>
  </si>
  <si>
    <t xml:space="preserve">                                   SCD - Sistema de Coleta de Dados</t>
  </si>
  <si>
    <t>Resumo mensal do reembolso do carvão e dos combustíveis secundários.</t>
  </si>
  <si>
    <t>Notas fiscais de compra do carvão encaminhadas pelo beneficiário, para aquele ano.</t>
  </si>
  <si>
    <t>Dados da Nota técnica do Orçamento CDE Anual.</t>
  </si>
  <si>
    <t>* Estoque informado pelo beneficiário durante a realização do PAC.</t>
  </si>
  <si>
    <t>CARVÃO MINERAL</t>
  </si>
  <si>
    <t>TOTAIS</t>
  </si>
  <si>
    <t>Data</t>
  </si>
  <si>
    <t>Reembolso Diamante</t>
  </si>
  <si>
    <t>Compra Mínima de Carvão (t)</t>
  </si>
  <si>
    <t>Consumo SCD (t)</t>
  </si>
  <si>
    <t>Carvão não consumido (Ano) (t)</t>
  </si>
  <si>
    <t>Para a apuração da Eficiência Energética solicitar a memória de cálculo via chamado</t>
  </si>
  <si>
    <t xml:space="preserve">                                        Carvão Reembolsado e Não consumido no ano anterior (Ea-1)* </t>
  </si>
  <si>
    <t>*O cálculo do Ea-1 não exime o beneficiário de informar o estoque durante o rito orçamentário, os valores aqui dispostos têm o devido fim de verificação da compra minima reembolsada e não consumida. Ressalta-se que os valores aqui dispostos estão sujeitos a qualquer momento de fiscalização da Aneel.</t>
  </si>
  <si>
    <t>Acompanhamento Ea-1</t>
  </si>
  <si>
    <t>Abril</t>
  </si>
  <si>
    <t>Maio</t>
  </si>
  <si>
    <t>Junho</t>
  </si>
  <si>
    <t>Julho</t>
  </si>
  <si>
    <t>Qtde (L)</t>
  </si>
  <si>
    <t>Compra Mínima (t)</t>
  </si>
  <si>
    <t>Ger. Bruta (MWh)</t>
  </si>
  <si>
    <t>Ger. Líquida (MWh)</t>
  </si>
  <si>
    <t>Agosto</t>
  </si>
  <si>
    <t>Setembro</t>
  </si>
  <si>
    <t>Outubro</t>
  </si>
  <si>
    <t>Novembro</t>
  </si>
  <si>
    <t>Dezembro</t>
  </si>
  <si>
    <t>Fiscalização Ehist</t>
  </si>
  <si>
    <t>Fiscalização Ea-1</t>
  </si>
  <si>
    <t>Valor 2021 (R$/t)</t>
  </si>
  <si>
    <t>Valor Atualizado 2022 (R$/t)</t>
  </si>
  <si>
    <t>REJL.NAJL.21.16726</t>
  </si>
  <si>
    <t>REJL.NAJL.21.16728</t>
  </si>
  <si>
    <t>REJL.NAJL.21.16727</t>
  </si>
  <si>
    <t>REJL.NAJL.21.16729</t>
  </si>
  <si>
    <t>REJL.NAJL.21.16730</t>
  </si>
  <si>
    <t>REJL.NAJL.21.16725</t>
  </si>
  <si>
    <t>Valor Atualizado IPCA 2022 (R$/t)</t>
  </si>
  <si>
    <t>CEG</t>
  </si>
  <si>
    <t>UTE.CM.SC.001260-2.01</t>
  </si>
  <si>
    <t>UTE.CM.SC.027093-8.01</t>
  </si>
  <si>
    <t>UTE.CM.SC.027094-6.01</t>
  </si>
  <si>
    <t>Valor Atualizado IPCA 2023 (R$/t)</t>
  </si>
  <si>
    <t>% Eficiência Energética, conforme art. 17, REN 1016/2022</t>
  </si>
  <si>
    <t>NF 3487716 competência fev.23 (sem recuperação de ICMS) correponde ao % do preço médio.</t>
  </si>
  <si>
    <t>NF 3487716 competência fev.23 correponde do montante consumido</t>
  </si>
  <si>
    <t>jan/24</t>
  </si>
  <si>
    <t>fev/24</t>
  </si>
  <si>
    <t>mar/24</t>
  </si>
  <si>
    <t>abr/24</t>
  </si>
  <si>
    <t>mai/24</t>
  </si>
  <si>
    <t>nov/24</t>
  </si>
  <si>
    <t>jun/24</t>
  </si>
  <si>
    <t>jul/24</t>
  </si>
  <si>
    <t>ago/24</t>
  </si>
  <si>
    <t>set/24</t>
  </si>
  <si>
    <t>out/24</t>
  </si>
  <si>
    <t>dez/24</t>
  </si>
  <si>
    <t>Ano 2024</t>
  </si>
  <si>
    <t>Valor Atualizado IPCA 2024 (R$/t)</t>
  </si>
  <si>
    <t>Valor Atualizado IPCA 2025 (R$/t)</t>
  </si>
  <si>
    <t>¹</t>
  </si>
  <si>
    <t>DSP 67.2023 - CONFAZ ICMS - 2024</t>
  </si>
  <si>
    <t>²</t>
  </si>
  <si>
    <t>DSP 47.2024 - CONFAZ - ICMS 2025</t>
  </si>
  <si>
    <t xml:space="preserve">  Paramêtros NT Nº 187/2024-STR/ANEEL, de 05/12/2024.</t>
  </si>
  <si>
    <t>Aplicação em 2025</t>
  </si>
  <si>
    <t>jun/25</t>
  </si>
  <si>
    <t>jan/25</t>
  </si>
  <si>
    <t>fev/25</t>
  </si>
  <si>
    <t>mar/25</t>
  </si>
  <si>
    <t>abr/25</t>
  </si>
  <si>
    <t>mai/25</t>
  </si>
  <si>
    <t>jul/25</t>
  </si>
  <si>
    <t>ago/25</t>
  </si>
  <si>
    <t>set/25</t>
  </si>
  <si>
    <t>out/25</t>
  </si>
  <si>
    <t>nov/25</t>
  </si>
  <si>
    <t>dez/25</t>
  </si>
  <si>
    <t>CTJL.24.431</t>
  </si>
  <si>
    <t>COPELMI</t>
  </si>
  <si>
    <t>REJL.NAJL.22.18858,</t>
  </si>
  <si>
    <t>SOUTH BRASIL MINERAÇÃO</t>
  </si>
  <si>
    <t>Siderópolis (Encerrado)</t>
  </si>
  <si>
    <t>CARBONIFERA METROPOLITANA S/A</t>
  </si>
  <si>
    <t>INDUSTRIA CARBONIFERA RIO DESERTO LTDA</t>
  </si>
  <si>
    <t>GABRIELLA MINERACAO LTDA</t>
  </si>
  <si>
    <t>CARBONIFERA BELLUNO LTDA</t>
  </si>
  <si>
    <t>CARBONIFERA CATARINENSE LTDA</t>
  </si>
  <si>
    <t>SOUTH BRASIL MINERACAO E REBENEFICIAMENTO LTDA</t>
  </si>
  <si>
    <t>Não há NF</t>
  </si>
  <si>
    <t xml:space="preserve">Óleo Diesel </t>
  </si>
  <si>
    <t>Exportação Carvão (t)</t>
  </si>
  <si>
    <t>Exportação 
Óleo Diesel (m³)</t>
  </si>
  <si>
    <t>Exportação
Óleo Combustível (t)</t>
  </si>
  <si>
    <t>Óleo Diesel (exportação)</t>
  </si>
  <si>
    <t xml:space="preserve">Exportação Óleo Diesel </t>
  </si>
  <si>
    <t>Exportação SCD</t>
  </si>
  <si>
    <t>Índice IPCA</t>
  </si>
  <si>
    <t>Subtotal 2 (R$)</t>
  </si>
  <si>
    <t>Após a revisão da Portaria 86/2024, será reembolsado óleo utilizado para exportação. Assim como o carvão consumido e utilizado para exportação.</t>
  </si>
  <si>
    <t>Estoque Custeado CDE não consumido no ano anterior (2025) [Ea-₁]*</t>
  </si>
  <si>
    <t>312342</t>
  </si>
  <si>
    <t>313333</t>
  </si>
  <si>
    <t>313043</t>
  </si>
  <si>
    <t>312665</t>
  </si>
  <si>
    <t>311802</t>
  </si>
  <si>
    <t>312955</t>
  </si>
  <si>
    <t>107833</t>
  </si>
  <si>
    <t>39924</t>
  </si>
  <si>
    <t>961</t>
  </si>
  <si>
    <t>75544</t>
  </si>
  <si>
    <t>75838</t>
  </si>
  <si>
    <t>39946</t>
  </si>
  <si>
    <t>39988</t>
  </si>
  <si>
    <t>39947</t>
  </si>
  <si>
    <t>39948</t>
  </si>
  <si>
    <t>107945</t>
  </si>
  <si>
    <t>10073</t>
  </si>
  <si>
    <t>39828</t>
  </si>
  <si>
    <t>39799</t>
  </si>
  <si>
    <t>107834</t>
  </si>
  <si>
    <t>39800</t>
  </si>
  <si>
    <t>1658</t>
  </si>
  <si>
    <t>1673</t>
  </si>
  <si>
    <t>79793</t>
  </si>
  <si>
    <t>79750</t>
  </si>
  <si>
    <t>27832</t>
  </si>
  <si>
    <t>27916</t>
  </si>
  <si>
    <t>27981</t>
  </si>
  <si>
    <t>28032</t>
  </si>
  <si>
    <t>27855</t>
  </si>
  <si>
    <t>17/03/2025</t>
  </si>
  <si>
    <t>31/03/2025</t>
  </si>
  <si>
    <t>03/04/2025</t>
  </si>
  <si>
    <t>25/03/2025</t>
  </si>
  <si>
    <t>20/03/2025</t>
  </si>
  <si>
    <t>04/04/2025</t>
  </si>
  <si>
    <t>05/03/2025</t>
  </si>
  <si>
    <t>27/03/2025</t>
  </si>
  <si>
    <t>10/03/2025</t>
  </si>
  <si>
    <t>Consumo destinado à Exportação</t>
  </si>
  <si>
    <t>30/04/2025</t>
  </si>
  <si>
    <t>17/04/2025</t>
  </si>
  <si>
    <t>25/04/2025</t>
  </si>
  <si>
    <t>22/04/2025</t>
  </si>
  <si>
    <t>06/05/2025</t>
  </si>
  <si>
    <t>15/04/2025</t>
  </si>
  <si>
    <t>29/04/2025</t>
  </si>
  <si>
    <t>01/04/2025</t>
  </si>
  <si>
    <t>09/04/2025</t>
  </si>
  <si>
    <t>24/04/2025</t>
  </si>
  <si>
    <t>109256</t>
  </si>
  <si>
    <t>40002</t>
  </si>
  <si>
    <t>10077</t>
  </si>
  <si>
    <t>40120</t>
  </si>
  <si>
    <t>40222</t>
  </si>
  <si>
    <t>40138</t>
  </si>
  <si>
    <t>109366</t>
  </si>
  <si>
    <t>40266</t>
  </si>
  <si>
    <t>79945</t>
  </si>
  <si>
    <t>40092</t>
  </si>
  <si>
    <t>40318</t>
  </si>
  <si>
    <t>77849</t>
  </si>
  <si>
    <t>40134</t>
  </si>
  <si>
    <t>1732</t>
  </si>
  <si>
    <t>1744</t>
  </si>
  <si>
    <t>28010</t>
  </si>
  <si>
    <t>28051</t>
  </si>
  <si>
    <t>28099</t>
  </si>
  <si>
    <t>28123</t>
  </si>
  <si>
    <t>28143</t>
  </si>
  <si>
    <t>28214</t>
  </si>
  <si>
    <t>962</t>
  </si>
  <si>
    <t>79912</t>
  </si>
  <si>
    <t>314261</t>
  </si>
  <si>
    <t>313744</t>
  </si>
  <si>
    <t>314791</t>
  </si>
  <si>
    <t>313777</t>
  </si>
  <si>
    <t>314790</t>
  </si>
  <si>
    <t>mai/2025</t>
  </si>
  <si>
    <t>COPELMI MINERACAO LTDA</t>
  </si>
  <si>
    <t>Compra Mínima (t) [1]</t>
  </si>
  <si>
    <t>Consumo de carvão mineral</t>
  </si>
  <si>
    <t>A pedido da empresa a competência 06/25 foi reprocessada para inclusão da medição de consumo do carvão mineral no mês. CTS-10202</t>
  </si>
  <si>
    <t>NÃO HÁ NF</t>
  </si>
  <si>
    <t xml:space="preserve">Carvão Mineral </t>
  </si>
  <si>
    <t>30/12/2025</t>
  </si>
  <si>
    <t>29/12/2025</t>
  </si>
  <si>
    <t>23/12/2025</t>
  </si>
  <si>
    <t>18/12/2025</t>
  </si>
  <si>
    <t>22/12/2025</t>
  </si>
  <si>
    <t>10/12/2025</t>
  </si>
  <si>
    <t>06/01/2026</t>
  </si>
  <si>
    <t>07/01/2026</t>
  </si>
  <si>
    <t>11/12/2025</t>
  </si>
  <si>
    <t>05/12/2025</t>
  </si>
  <si>
    <t xml:space="preserve">                  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</si>
</sst>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\-yy;@"/>
    <numFmt numFmtId="165" formatCode="0.000"/>
    <numFmt numFmtId="166" formatCode="#,##0.00_ ;[Red]\-#,##0.00\ "/>
    <numFmt numFmtId="167" formatCode="#,##0_ ;[Red]\-#,##0\ "/>
    <numFmt numFmtId="168" formatCode="#,##0.0_ ;[Red]\-#,##0.0\ "/>
    <numFmt numFmtId="169" formatCode="#,##0.000_ ;[Red]\-#,##0.000\ "/>
    <numFmt numFmtId="170" formatCode="dd/mm/yy;@"/>
    <numFmt numFmtId="171" formatCode="0.00000"/>
    <numFmt numFmtId="172" formatCode="_-&quot;R$&quot;\ * #,##0.0000000_-;\-&quot;R$&quot;\ * #,##0.0000000_-;_-&quot;R$&quot;\ * &quot;-&quot;??_-;_-@_-"/>
    <numFmt numFmtId="173" formatCode="&quot;R$&quot;\ #,##0.00"/>
    <numFmt numFmtId="174" formatCode="0.0000000"/>
    <numFmt numFmtId="175" formatCode="0.00000000"/>
    <numFmt numFmtId="176" formatCode="0.0000000000%"/>
    <numFmt numFmtId="177" formatCode="_-* #,##0.000_-;\-* #,##0.000_-;_-* &quot;-&quot;??_-;_-@_-"/>
    <numFmt numFmtId="178" formatCode="0.000000"/>
    <numFmt numFmtId="179" formatCode="#0.00000"/>
    <numFmt numFmtId="180" formatCode="0.0000"/>
    <numFmt numFmtId="184" formatCode="_-* #,##0.00_-;\-* #,##0.00_-;_-* &quot;-&quot;??_-;_-@_-"/>
  </numFmts>
  <fonts count="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8"/>
      <color rgb="FF0E2050"/>
      <name val="Calibri"/>
      <family val="2"/>
      <scheme val="minor"/>
    </font>
    <font>
      <b/>
      <sz val="11"/>
      <color rgb="FF0E2050"/>
      <name val="Calibri"/>
      <family val="2"/>
      <scheme val="minor"/>
    </font>
    <font>
      <sz val="11"/>
      <color rgb="FF0E2050"/>
      <name val="Calibri"/>
      <family val="2"/>
      <scheme val="minor"/>
    </font>
    <font>
      <sz val="11"/>
      <color rgb="FF0E2050"/>
      <name val="Calibri"/>
      <family val="2"/>
    </font>
    <font>
      <b/>
      <sz val="14"/>
      <color rgb="FF0E2050"/>
      <name val="Calibri"/>
      <family val="2"/>
      <scheme val="minor"/>
    </font>
    <font>
      <b/>
      <sz val="11"/>
      <color rgb="FF08296C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08296C"/>
      <name val="Calibri"/>
      <family val="2"/>
      <scheme val="minor"/>
    </font>
    <font>
      <sz val="8"/>
      <name val="Courier New"/>
      <family val="3"/>
    </font>
    <font>
      <sz val="11"/>
      <name val="Calibri"/>
      <family val="2"/>
    </font>
    <font>
      <sz val="10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0C4C"/>
      <name val="Calibri"/>
      <family val="2"/>
      <scheme val="minor"/>
    </font>
    <font>
      <b/>
      <sz val="18"/>
      <color rgb="FF06038D"/>
      <name val="Calibri"/>
      <family val="2"/>
      <scheme val="minor"/>
    </font>
    <font>
      <sz val="11"/>
      <color rgb="FF06038D"/>
      <name val="Calibri"/>
      <family val="2"/>
      <scheme val="minor"/>
    </font>
    <font>
      <sz val="11"/>
      <color rgb="FF000C4C"/>
      <name val="Calibri"/>
      <family val="2"/>
      <scheme val="minor"/>
    </font>
    <font>
      <sz val="11"/>
      <color rgb="FF08296C"/>
      <name val="Calibri"/>
      <family val="2"/>
      <scheme val="minor"/>
    </font>
    <font>
      <b/>
      <sz val="11"/>
      <color rgb="FF06038D"/>
      <name val="Calibri"/>
      <family val="2"/>
      <scheme val="minor"/>
    </font>
    <font>
      <b/>
      <sz val="14"/>
      <color rgb="FF06038D"/>
      <name val="Calibri"/>
      <family val="2"/>
      <scheme val="minor"/>
    </font>
    <font>
      <b/>
      <sz val="16"/>
      <color rgb="FF06038D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1"/>
      <name val="Roboto"/>
    </font>
    <font>
      <sz val="10"/>
      <color rgb="FF000000"/>
      <name val="Verdana"/>
      <family val="2"/>
    </font>
    <font>
      <sz val="10"/>
      <color theme="1"/>
      <name val="Arial"/>
      <family val="2"/>
    </font>
    <font>
      <b/>
      <sz val="28"/>
      <color theme="4" tint="-0.499984740745262"/>
      <name val="Calibri"/>
      <family val="2"/>
      <scheme val="minor"/>
    </font>
    <font>
      <b/>
      <sz val="28"/>
      <color rgb="FF06038D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  <font>
      <sz val="10"/>
      <name val="Arial"/>
      <family val="2"/>
    </font>
    <font>
      <sz val="11"/>
      <name val="Aptos Narrow"/>
    </font>
    <font>
      <sz val="11"/>
      <name val="Aptos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E2050"/>
        <bgColor indexed="64"/>
      </patternFill>
    </fill>
    <fill>
      <patternFill patternType="solid">
        <fgColor rgb="FF08296C"/>
        <bgColor indexed="64"/>
      </patternFill>
    </fill>
    <fill>
      <patternFill patternType="solid">
        <fgColor rgb="FF0073AE"/>
        <bgColor indexed="64"/>
      </patternFill>
    </fill>
    <fill>
      <patternFill patternType="solid">
        <fgColor rgb="FF007B77"/>
        <bgColor indexed="64"/>
      </patternFill>
    </fill>
    <fill>
      <patternFill patternType="solid">
        <fgColor rgb="FF00909E"/>
        <bgColor indexed="64"/>
      </patternFill>
    </fill>
    <fill>
      <patternFill patternType="solid">
        <fgColor rgb="FF06038D"/>
        <bgColor indexed="64"/>
      </patternFill>
    </fill>
    <fill>
      <patternFill patternType="solid">
        <fgColor rgb="FFB8DDE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1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n">
        <color rgb="FFFBBB21"/>
      </left>
      <right style="thin">
        <color rgb="FFFBBB21"/>
      </right>
      <top style="thin">
        <color rgb="FFFBBB21"/>
      </top>
      <bottom style="thin">
        <color rgb="FFFBBB21"/>
      </bottom>
      <diagonal/>
    </border>
    <border>
      <left/>
      <right style="thin">
        <color rgb="FFFBBB21"/>
      </right>
      <top style="thin">
        <color rgb="FFFBBB21"/>
      </top>
      <bottom/>
      <diagonal/>
    </border>
    <border>
      <left style="thin">
        <color rgb="FFFBBB21"/>
      </left>
      <right/>
      <top style="thin">
        <color rgb="FFFBBB21"/>
      </top>
      <bottom style="thin">
        <color rgb="FFFBBB21"/>
      </bottom>
      <diagonal/>
    </border>
    <border>
      <left/>
      <right style="thin">
        <color rgb="FFFBBB21"/>
      </right>
      <top style="thin">
        <color rgb="FFFBBB21"/>
      </top>
      <bottom style="thin">
        <color rgb="FFFBBB21"/>
      </bottom>
      <diagonal/>
    </border>
    <border>
      <left style="thin">
        <color rgb="FFFBBB21"/>
      </left>
      <right style="thin">
        <color rgb="FFFBBB21"/>
      </right>
      <top style="thin">
        <color rgb="FFFBBB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FFC000"/>
      </left>
      <right style="thin">
        <color rgb="FFFFCB05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/>
      <right/>
      <top style="thin">
        <color rgb="FFFFC000"/>
      </top>
      <bottom/>
      <diagonal/>
    </border>
    <border>
      <left/>
      <right style="thin">
        <color rgb="FFFFC000"/>
      </right>
      <top style="thin">
        <color rgb="FFFFC000"/>
      </top>
      <bottom/>
      <diagonal/>
    </border>
    <border>
      <left/>
      <right style="thin">
        <color rgb="FFFBBB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C4C"/>
      </left>
      <right style="thin">
        <color rgb="FF000C4C"/>
      </right>
      <top style="thin">
        <color rgb="FF000C4C"/>
      </top>
      <bottom style="thin">
        <color rgb="FF000C4C"/>
      </bottom>
      <diagonal/>
    </border>
    <border>
      <left style="thin">
        <color rgb="FF000C4C"/>
      </left>
      <right/>
      <top style="thin">
        <color rgb="FF000C4C"/>
      </top>
      <bottom style="thin">
        <color rgb="FF000C4C"/>
      </bottom>
      <diagonal/>
    </border>
    <border>
      <left/>
      <right/>
      <top style="thin">
        <color rgb="FF000C4C"/>
      </top>
      <bottom style="thin">
        <color rgb="FF000C4C"/>
      </bottom>
      <diagonal/>
    </border>
    <border>
      <left/>
      <right style="thin">
        <color rgb="FF000C4C"/>
      </right>
      <top style="thin">
        <color rgb="FF000C4C"/>
      </top>
      <bottom style="thin">
        <color rgb="FF000C4C"/>
      </bottom>
      <diagonal/>
    </border>
    <border>
      <left style="medium">
        <color rgb="FF0E2050"/>
      </left>
      <right/>
      <top style="medium">
        <color rgb="FF0E2050"/>
      </top>
      <bottom style="medium">
        <color rgb="FF0E2050"/>
      </bottom>
      <diagonal/>
    </border>
    <border>
      <left style="thin">
        <color rgb="FF0E2050"/>
      </left>
      <right style="thin">
        <color rgb="FF0E2050"/>
      </right>
      <top style="medium">
        <color rgb="FF0E2050"/>
      </top>
      <bottom style="medium">
        <color rgb="FF0E2050"/>
      </bottom>
      <diagonal/>
    </border>
    <border>
      <left style="thin">
        <color rgb="FF0E2050"/>
      </left>
      <right/>
      <top style="medium">
        <color rgb="FF0E2050"/>
      </top>
      <bottom style="medium">
        <color rgb="FF0E2050"/>
      </bottom>
      <diagonal/>
    </border>
    <border>
      <left style="medium">
        <color rgb="FF0E2050"/>
      </left>
      <right style="medium">
        <color rgb="FF0E2050"/>
      </right>
      <top style="medium">
        <color rgb="FF0E2050"/>
      </top>
      <bottom style="medium">
        <color rgb="FF0E2050"/>
      </bottom>
      <diagonal/>
    </border>
    <border>
      <left style="medium">
        <color rgb="FF0E2050"/>
      </left>
      <right/>
      <top style="medium">
        <color rgb="FF0E2050"/>
      </top>
      <bottom style="thin">
        <color rgb="FF0E2050"/>
      </bottom>
      <diagonal/>
    </border>
    <border>
      <left style="thin">
        <color rgb="FF0E2050"/>
      </left>
      <right style="thin">
        <color rgb="FF0E2050"/>
      </right>
      <top style="medium">
        <color rgb="FF0E2050"/>
      </top>
      <bottom style="thin">
        <color rgb="FF0E2050"/>
      </bottom>
      <diagonal/>
    </border>
    <border>
      <left style="thin">
        <color rgb="FF0E2050"/>
      </left>
      <right/>
      <top style="medium">
        <color rgb="FF0E2050"/>
      </top>
      <bottom style="thin">
        <color rgb="FF0E2050"/>
      </bottom>
      <diagonal/>
    </border>
    <border>
      <left style="medium">
        <color rgb="FF0E2050"/>
      </left>
      <right style="medium">
        <color rgb="FF0E2050"/>
      </right>
      <top style="medium">
        <color rgb="FF0E2050"/>
      </top>
      <bottom style="thin">
        <color rgb="FF0E2050"/>
      </bottom>
      <diagonal/>
    </border>
    <border>
      <left style="medium">
        <color rgb="FF0E2050"/>
      </left>
      <right/>
      <top style="thin">
        <color rgb="FF0E2050"/>
      </top>
      <bottom style="medium">
        <color rgb="FF0E2050"/>
      </bottom>
      <diagonal/>
    </border>
    <border>
      <left style="thin">
        <color rgb="FF0E2050"/>
      </left>
      <right style="thin">
        <color rgb="FF0E2050"/>
      </right>
      <top style="thin">
        <color rgb="FF0E2050"/>
      </top>
      <bottom style="medium">
        <color rgb="FF0E2050"/>
      </bottom>
      <diagonal/>
    </border>
    <border>
      <left style="thin">
        <color rgb="FF0E2050"/>
      </left>
      <right/>
      <top style="thin">
        <color rgb="FF0E2050"/>
      </top>
      <bottom style="medium">
        <color rgb="FF0E2050"/>
      </bottom>
      <diagonal/>
    </border>
    <border>
      <left style="medium">
        <color rgb="FF0E2050"/>
      </left>
      <right style="medium">
        <color rgb="FF0E2050"/>
      </right>
      <top style="thin">
        <color rgb="FF0E2050"/>
      </top>
      <bottom style="medium">
        <color rgb="FF0E2050"/>
      </bottom>
      <diagonal/>
    </border>
    <border>
      <left style="thin">
        <color rgb="FF000C4C"/>
      </left>
      <right/>
      <top style="thin">
        <color rgb="FF000C4C"/>
      </top>
      <bottom/>
      <diagonal/>
    </border>
    <border>
      <left/>
      <right/>
      <top style="thin">
        <color rgb="FF000C4C"/>
      </top>
      <bottom/>
      <diagonal/>
    </border>
    <border>
      <left/>
      <right style="thin">
        <color rgb="FF000C4C"/>
      </right>
      <top style="thin">
        <color rgb="FF000C4C"/>
      </top>
      <bottom/>
      <diagonal/>
    </border>
    <border>
      <left style="medium">
        <color rgb="FF000C4C"/>
      </left>
      <right/>
      <top style="medium">
        <color rgb="FF000C4C"/>
      </top>
      <bottom style="medium">
        <color rgb="FF000C4C"/>
      </bottom>
      <diagonal/>
    </border>
    <border>
      <left/>
      <right/>
      <top style="medium">
        <color rgb="FF000C4C"/>
      </top>
      <bottom style="medium">
        <color rgb="FF000C4C"/>
      </bottom>
      <diagonal/>
    </border>
    <border>
      <left/>
      <right style="medium">
        <color rgb="FF000C4C"/>
      </right>
      <top style="medium">
        <color rgb="FF000C4C"/>
      </top>
      <bottom style="medium">
        <color rgb="FF000C4C"/>
      </bottom>
      <diagonal/>
    </border>
    <border>
      <left style="thin">
        <color rgb="FF000C4C"/>
      </left>
      <right style="thin">
        <color rgb="FF000C4C"/>
      </right>
      <top/>
      <bottom style="thin">
        <color rgb="FF000C4C"/>
      </bottom>
      <diagonal/>
    </border>
    <border>
      <left style="thin">
        <color rgb="FF000C4C"/>
      </left>
      <right style="thin">
        <color rgb="FF000C4C"/>
      </right>
      <top style="thin">
        <color rgb="FF000C4C"/>
      </top>
      <bottom style="thick">
        <color rgb="FF000C4C"/>
      </bottom>
      <diagonal/>
    </border>
    <border>
      <left style="thin">
        <color rgb="FF000C4C"/>
      </left>
      <right style="thin">
        <color rgb="FF000C4C"/>
      </right>
      <top style="thin">
        <color indexed="64"/>
      </top>
      <bottom style="thin">
        <color rgb="FF000C4C"/>
      </bottom>
      <diagonal/>
    </border>
    <border>
      <left style="thin">
        <color rgb="FF000C4C"/>
      </left>
      <right style="thin">
        <color rgb="FF000C4C"/>
      </right>
      <top style="thin">
        <color rgb="FF000C4C"/>
      </top>
      <bottom/>
      <diagonal/>
    </border>
    <border>
      <left style="thin">
        <color rgb="FF000C4C"/>
      </left>
      <right style="thin">
        <color rgb="FF000C4C"/>
      </right>
      <top style="thin">
        <color indexed="64"/>
      </top>
      <bottom style="medium">
        <color indexed="64"/>
      </bottom>
      <diagonal/>
    </border>
    <border>
      <left style="thin">
        <color rgb="FF000C4C"/>
      </left>
      <right style="thin">
        <color rgb="FF000C4C"/>
      </right>
      <top/>
      <bottom style="thick">
        <color rgb="FF000C4C"/>
      </bottom>
      <diagonal/>
    </border>
  </borders>
  <cellStyleXfs count="23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31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5" fillId="0" borderId="0"/>
    <xf numFmtId="9" fontId="4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4" fillId="0" borderId="0"/>
    <xf numFmtId="184" fontId="45" fillId="0" borderId="0" applyFont="0" applyFill="0" applyBorder="0" applyAlignment="0" applyProtection="0"/>
  </cellStyleXfs>
  <cellXfs count="29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17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9" fontId="0" fillId="0" borderId="0" xfId="1" applyFont="1"/>
    <xf numFmtId="44" fontId="0" fillId="0" borderId="0" xfId="2" applyFont="1"/>
    <xf numFmtId="0" fontId="10" fillId="0" borderId="0" xfId="0" applyFont="1"/>
    <xf numFmtId="0" fontId="11" fillId="0" borderId="0" xfId="0" applyFont="1"/>
    <xf numFmtId="17" fontId="11" fillId="0" borderId="1" xfId="0" applyNumberFormat="1" applyFont="1" applyBorder="1"/>
    <xf numFmtId="14" fontId="11" fillId="3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7" fontId="0" fillId="0" borderId="0" xfId="0" applyNumberFormat="1" applyAlignment="1">
      <alignment horizontal="center"/>
    </xf>
    <xf numFmtId="166" fontId="10" fillId="3" borderId="1" xfId="0" applyNumberFormat="1" applyFont="1" applyFill="1" applyBorder="1" applyAlignment="1">
      <alignment horizontal="center"/>
    </xf>
    <xf numFmtId="166" fontId="10" fillId="3" borderId="5" xfId="0" applyNumberFormat="1" applyFont="1" applyFill="1" applyBorder="1"/>
    <xf numFmtId="0" fontId="7" fillId="0" borderId="0" xfId="0" applyFont="1" applyAlignment="1">
      <alignment horizontal="center" vertical="center" wrapText="1"/>
    </xf>
    <xf numFmtId="9" fontId="11" fillId="0" borderId="0" xfId="1" applyFont="1" applyBorder="1"/>
    <xf numFmtId="169" fontId="0" fillId="0" borderId="0" xfId="0" applyNumberFormat="1"/>
    <xf numFmtId="169" fontId="0" fillId="0" borderId="0" xfId="0" applyNumberFormat="1" applyAlignment="1">
      <alignment horizontal="center"/>
    </xf>
    <xf numFmtId="169" fontId="0" fillId="0" borderId="0" xfId="2" applyNumberFormat="1" applyFont="1" applyAlignment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 wrapText="1"/>
    </xf>
    <xf numFmtId="165" fontId="10" fillId="3" borderId="1" xfId="0" applyNumberFormat="1" applyFont="1" applyFill="1" applyBorder="1"/>
    <xf numFmtId="165" fontId="10" fillId="3" borderId="0" xfId="0" applyNumberFormat="1" applyFont="1" applyFill="1"/>
    <xf numFmtId="166" fontId="10" fillId="0" borderId="0" xfId="0" applyNumberFormat="1" applyFont="1" applyAlignment="1">
      <alignment horizontal="center"/>
    </xf>
    <xf numFmtId="43" fontId="0" fillId="0" borderId="0" xfId="0" applyNumberFormat="1" applyAlignment="1">
      <alignment horizontal="center"/>
    </xf>
    <xf numFmtId="0" fontId="2" fillId="0" borderId="6" xfId="0" applyFont="1" applyBorder="1"/>
    <xf numFmtId="0" fontId="7" fillId="6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70" fontId="0" fillId="0" borderId="0" xfId="0" applyNumberFormat="1" applyAlignment="1">
      <alignment horizontal="center" wrapText="1"/>
    </xf>
    <xf numFmtId="167" fontId="1" fillId="0" borderId="0" xfId="0" applyNumberFormat="1" applyFont="1" applyAlignment="1">
      <alignment horizontal="center" wrapText="1"/>
    </xf>
    <xf numFmtId="168" fontId="1" fillId="0" borderId="0" xfId="0" applyNumberFormat="1" applyFont="1" applyAlignment="1">
      <alignment horizontal="center" wrapText="1"/>
    </xf>
    <xf numFmtId="166" fontId="0" fillId="0" borderId="0" xfId="0" applyNumberFormat="1" applyAlignment="1">
      <alignment horizontal="center" wrapText="1"/>
    </xf>
    <xf numFmtId="170" fontId="0" fillId="0" borderId="0" xfId="0" applyNumberFormat="1"/>
    <xf numFmtId="0" fontId="13" fillId="0" borderId="0" xfId="0" applyFont="1" applyAlignment="1">
      <alignment vertical="center"/>
    </xf>
    <xf numFmtId="0" fontId="0" fillId="0" borderId="0" xfId="0" applyAlignment="1">
      <alignment vertical="top" wrapText="1"/>
    </xf>
    <xf numFmtId="20" fontId="0" fillId="0" borderId="0" xfId="0" applyNumberFormat="1"/>
    <xf numFmtId="43" fontId="0" fillId="0" borderId="0" xfId="0" applyNumberFormat="1"/>
    <xf numFmtId="44" fontId="0" fillId="0" borderId="0" xfId="0" applyNumberFormat="1"/>
    <xf numFmtId="171" fontId="0" fillId="0" borderId="0" xfId="0" applyNumberFormat="1"/>
    <xf numFmtId="2" fontId="0" fillId="0" borderId="0" xfId="0" applyNumberFormat="1"/>
    <xf numFmtId="4" fontId="0" fillId="0" borderId="0" xfId="0" applyNumberFormat="1"/>
    <xf numFmtId="43" fontId="0" fillId="0" borderId="0" xfId="3" applyFont="1"/>
    <xf numFmtId="10" fontId="0" fillId="0" borderId="0" xfId="0" applyNumberFormat="1" applyAlignment="1">
      <alignment horizontal="center"/>
    </xf>
    <xf numFmtId="0" fontId="0" fillId="0" borderId="0" xfId="0" quotePrefix="1"/>
    <xf numFmtId="0" fontId="8" fillId="0" borderId="0" xfId="0" applyFont="1"/>
    <xf numFmtId="0" fontId="8" fillId="0" borderId="0" xfId="0" applyFont="1" applyAlignment="1">
      <alignment vertical="center"/>
    </xf>
    <xf numFmtId="0" fontId="21" fillId="0" borderId="0" xfId="0" applyFont="1"/>
    <xf numFmtId="0" fontId="7" fillId="9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/>
    </xf>
    <xf numFmtId="0" fontId="14" fillId="12" borderId="13" xfId="0" applyFont="1" applyFill="1" applyBorder="1" applyAlignment="1">
      <alignment horizontal="center" vertical="center" wrapText="1"/>
    </xf>
    <xf numFmtId="17" fontId="11" fillId="0" borderId="13" xfId="0" applyNumberFormat="1" applyFont="1" applyBorder="1" applyAlignment="1">
      <alignment horizontal="right"/>
    </xf>
    <xf numFmtId="43" fontId="8" fillId="0" borderId="13" xfId="3" applyFont="1" applyBorder="1" applyAlignment="1">
      <alignment vertical="center"/>
    </xf>
    <xf numFmtId="10" fontId="8" fillId="0" borderId="13" xfId="3" applyNumberFormat="1" applyFont="1" applyBorder="1" applyAlignment="1">
      <alignment vertical="center"/>
    </xf>
    <xf numFmtId="44" fontId="8" fillId="0" borderId="13" xfId="2" applyFont="1" applyBorder="1" applyAlignment="1">
      <alignment vertical="center"/>
    </xf>
    <xf numFmtId="0" fontId="8" fillId="0" borderId="13" xfId="3" applyNumberFormat="1" applyFont="1" applyBorder="1" applyAlignment="1">
      <alignment vertical="center"/>
    </xf>
    <xf numFmtId="44" fontId="8" fillId="0" borderId="13" xfId="2" applyFont="1" applyFill="1" applyBorder="1" applyAlignment="1">
      <alignment vertical="center"/>
    </xf>
    <xf numFmtId="0" fontId="7" fillId="8" borderId="13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0" fontId="11" fillId="0" borderId="13" xfId="3" applyNumberFormat="1" applyFont="1" applyBorder="1" applyAlignment="1">
      <alignment vertical="center"/>
    </xf>
    <xf numFmtId="43" fontId="11" fillId="0" borderId="13" xfId="3" applyFont="1" applyBorder="1" applyAlignment="1">
      <alignment vertical="center"/>
    </xf>
    <xf numFmtId="14" fontId="11" fillId="0" borderId="13" xfId="3" applyNumberFormat="1" applyFont="1" applyBorder="1" applyAlignment="1">
      <alignment vertical="center"/>
    </xf>
    <xf numFmtId="0" fontId="11" fillId="0" borderId="13" xfId="0" applyFont="1" applyBorder="1"/>
    <xf numFmtId="173" fontId="11" fillId="0" borderId="13" xfId="0" applyNumberFormat="1" applyFont="1" applyBorder="1"/>
    <xf numFmtId="44" fontId="11" fillId="0" borderId="13" xfId="2" applyFont="1" applyBorder="1"/>
    <xf numFmtId="0" fontId="10" fillId="0" borderId="13" xfId="0" applyFont="1" applyBorder="1" applyAlignment="1">
      <alignment horizontal="center"/>
    </xf>
    <xf numFmtId="43" fontId="11" fillId="3" borderId="13" xfId="3" applyFont="1" applyFill="1" applyBorder="1" applyAlignment="1">
      <alignment horizontal="center"/>
    </xf>
    <xf numFmtId="173" fontId="11" fillId="3" borderId="13" xfId="0" applyNumberFormat="1" applyFont="1" applyFill="1" applyBorder="1" applyAlignment="1">
      <alignment horizontal="center"/>
    </xf>
    <xf numFmtId="44" fontId="11" fillId="3" borderId="13" xfId="2" applyFont="1" applyFill="1" applyBorder="1" applyAlignment="1">
      <alignment horizontal="center"/>
    </xf>
    <xf numFmtId="172" fontId="11" fillId="0" borderId="13" xfId="2" applyNumberFormat="1" applyFont="1" applyBorder="1"/>
    <xf numFmtId="44" fontId="10" fillId="0" borderId="13" xfId="2" applyFont="1" applyBorder="1"/>
    <xf numFmtId="164" fontId="8" fillId="0" borderId="13" xfId="3" quotePrefix="1" applyNumberFormat="1" applyFont="1" applyBorder="1" applyAlignment="1">
      <alignment horizontal="right" vertical="center"/>
    </xf>
    <xf numFmtId="166" fontId="11" fillId="0" borderId="13" xfId="0" applyNumberFormat="1" applyFont="1" applyBorder="1"/>
    <xf numFmtId="10" fontId="11" fillId="0" borderId="13" xfId="1" applyNumberFormat="1" applyFont="1" applyBorder="1"/>
    <xf numFmtId="167" fontId="11" fillId="0" borderId="13" xfId="0" applyNumberFormat="1" applyFont="1" applyBorder="1"/>
    <xf numFmtId="9" fontId="7" fillId="6" borderId="13" xfId="1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14" fillId="11" borderId="12" xfId="0" applyFont="1" applyFill="1" applyBorder="1" applyAlignment="1">
      <alignment horizontal="center" vertical="center" wrapText="1"/>
    </xf>
    <xf numFmtId="17" fontId="11" fillId="0" borderId="12" xfId="0" applyNumberFormat="1" applyFont="1" applyBorder="1"/>
    <xf numFmtId="165" fontId="11" fillId="0" borderId="12" xfId="0" applyNumberFormat="1" applyFont="1" applyBorder="1"/>
    <xf numFmtId="14" fontId="11" fillId="0" borderId="12" xfId="0" applyNumberFormat="1" applyFont="1" applyBorder="1"/>
    <xf numFmtId="164" fontId="8" fillId="0" borderId="12" xfId="3" quotePrefix="1" applyNumberFormat="1" applyFont="1" applyBorder="1" applyAlignment="1">
      <alignment horizontal="right" vertical="center"/>
    </xf>
    <xf numFmtId="17" fontId="11" fillId="0" borderId="13" xfId="0" applyNumberFormat="1" applyFont="1" applyBorder="1"/>
    <xf numFmtId="167" fontId="10" fillId="3" borderId="13" xfId="0" applyNumberFormat="1" applyFont="1" applyFill="1" applyBorder="1" applyAlignment="1">
      <alignment horizontal="center"/>
    </xf>
    <xf numFmtId="166" fontId="10" fillId="0" borderId="13" xfId="0" applyNumberFormat="1" applyFont="1" applyBorder="1"/>
    <xf numFmtId="166" fontId="10" fillId="3" borderId="13" xfId="0" applyNumberFormat="1" applyFont="1" applyFill="1" applyBorder="1" applyAlignment="1">
      <alignment horizontal="center"/>
    </xf>
    <xf numFmtId="17" fontId="7" fillId="9" borderId="13" xfId="0" applyNumberFormat="1" applyFont="1" applyFill="1" applyBorder="1"/>
    <xf numFmtId="0" fontId="7" fillId="9" borderId="13" xfId="0" applyFont="1" applyFill="1" applyBorder="1" applyAlignment="1">
      <alignment horizontal="left" vertical="center"/>
    </xf>
    <xf numFmtId="166" fontId="10" fillId="3" borderId="13" xfId="0" applyNumberFormat="1" applyFont="1" applyFill="1" applyBorder="1"/>
    <xf numFmtId="0" fontId="7" fillId="9" borderId="17" xfId="0" applyFont="1" applyFill="1" applyBorder="1" applyAlignment="1">
      <alignment horizontal="center" vertical="center" wrapText="1"/>
    </xf>
    <xf numFmtId="0" fontId="26" fillId="10" borderId="18" xfId="0" applyFont="1" applyFill="1" applyBorder="1" applyAlignment="1">
      <alignment horizontal="center" wrapText="1"/>
    </xf>
    <xf numFmtId="0" fontId="26" fillId="10" borderId="19" xfId="0" applyFont="1" applyFill="1" applyBorder="1" applyAlignment="1">
      <alignment horizontal="center" wrapText="1"/>
    </xf>
    <xf numFmtId="0" fontId="7" fillId="6" borderId="20" xfId="0" applyFont="1" applyFill="1" applyBorder="1" applyAlignment="1">
      <alignment horizontal="center" vertical="center" wrapText="1"/>
    </xf>
    <xf numFmtId="0" fontId="26" fillId="10" borderId="20" xfId="0" applyFont="1" applyFill="1" applyBorder="1" applyAlignment="1">
      <alignment horizontal="center" wrapText="1"/>
    </xf>
    <xf numFmtId="0" fontId="14" fillId="11" borderId="20" xfId="0" applyFont="1" applyFill="1" applyBorder="1" applyAlignment="1">
      <alignment horizontal="center" vertical="center" wrapText="1"/>
    </xf>
    <xf numFmtId="17" fontId="0" fillId="0" borderId="21" xfId="0" applyNumberFormat="1" applyBorder="1"/>
    <xf numFmtId="0" fontId="6" fillId="0" borderId="22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" fillId="0" borderId="25" xfId="0" applyFont="1" applyBorder="1"/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27" fillId="0" borderId="0" xfId="0" applyFont="1"/>
    <xf numFmtId="17" fontId="10" fillId="0" borderId="13" xfId="0" applyNumberFormat="1" applyFont="1" applyBorder="1"/>
    <xf numFmtId="166" fontId="10" fillId="3" borderId="4" xfId="0" applyNumberFormat="1" applyFont="1" applyFill="1" applyBorder="1" applyAlignment="1">
      <alignment horizontal="center"/>
    </xf>
    <xf numFmtId="166" fontId="10" fillId="3" borderId="2" xfId="0" applyNumberFormat="1" applyFont="1" applyFill="1" applyBorder="1"/>
    <xf numFmtId="14" fontId="11" fillId="3" borderId="4" xfId="0" applyNumberFormat="1" applyFont="1" applyFill="1" applyBorder="1" applyAlignment="1">
      <alignment horizontal="center"/>
    </xf>
    <xf numFmtId="17" fontId="8" fillId="0" borderId="13" xfId="0" applyNumberFormat="1" applyFont="1" applyBorder="1"/>
    <xf numFmtId="0" fontId="8" fillId="0" borderId="13" xfId="0" applyFont="1" applyBorder="1"/>
    <xf numFmtId="167" fontId="8" fillId="0" borderId="13" xfId="0" applyNumberFormat="1" applyFont="1" applyBorder="1"/>
    <xf numFmtId="166" fontId="8" fillId="0" borderId="13" xfId="0" applyNumberFormat="1" applyFont="1" applyBorder="1"/>
    <xf numFmtId="0" fontId="10" fillId="0" borderId="13" xfId="0" applyFont="1" applyBorder="1"/>
    <xf numFmtId="0" fontId="8" fillId="0" borderId="13" xfId="0" applyFont="1" applyBorder="1" applyAlignment="1">
      <alignment vertical="top" wrapText="1"/>
    </xf>
    <xf numFmtId="169" fontId="10" fillId="3" borderId="13" xfId="0" applyNumberFormat="1" applyFont="1" applyFill="1" applyBorder="1"/>
    <xf numFmtId="165" fontId="11" fillId="0" borderId="13" xfId="0" applyNumberFormat="1" applyFont="1" applyBorder="1"/>
    <xf numFmtId="14" fontId="11" fillId="0" borderId="13" xfId="0" applyNumberFormat="1" applyFont="1" applyBorder="1"/>
    <xf numFmtId="0" fontId="25" fillId="0" borderId="0" xfId="0" applyFont="1"/>
    <xf numFmtId="0" fontId="23" fillId="10" borderId="35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23" fillId="10" borderId="13" xfId="0" applyFont="1" applyFill="1" applyBorder="1" applyAlignment="1">
      <alignment horizontal="center" vertical="center" wrapText="1"/>
    </xf>
    <xf numFmtId="0" fontId="0" fillId="0" borderId="13" xfId="0" applyBorder="1"/>
    <xf numFmtId="0" fontId="11" fillId="0" borderId="13" xfId="0" applyFont="1" applyBorder="1" applyAlignment="1">
      <alignment horizontal="center" wrapText="1"/>
    </xf>
    <xf numFmtId="4" fontId="11" fillId="0" borderId="13" xfId="1" applyNumberFormat="1" applyFont="1" applyBorder="1"/>
    <xf numFmtId="0" fontId="0" fillId="2" borderId="13" xfId="0" applyFill="1" applyBorder="1" applyAlignment="1">
      <alignment wrapText="1"/>
    </xf>
    <xf numFmtId="17" fontId="11" fillId="0" borderId="13" xfId="0" applyNumberFormat="1" applyFont="1" applyBorder="1" applyAlignment="1">
      <alignment horizontal="center" wrapText="1"/>
    </xf>
    <xf numFmtId="4" fontId="11" fillId="0" borderId="13" xfId="0" applyNumberFormat="1" applyFont="1" applyBorder="1"/>
    <xf numFmtId="0" fontId="7" fillId="9" borderId="16" xfId="0" applyFont="1" applyFill="1" applyBorder="1" applyAlignment="1">
      <alignment horizontal="center" vertical="center" wrapText="1"/>
    </xf>
    <xf numFmtId="2" fontId="11" fillId="0" borderId="13" xfId="0" applyNumberFormat="1" applyFont="1" applyBorder="1"/>
    <xf numFmtId="0" fontId="23" fillId="10" borderId="35" xfId="0" applyFont="1" applyFill="1" applyBorder="1" applyAlignment="1">
      <alignment horizontal="center" wrapText="1"/>
    </xf>
    <xf numFmtId="170" fontId="0" fillId="0" borderId="13" xfId="0" applyNumberFormat="1" applyBorder="1"/>
    <xf numFmtId="167" fontId="0" fillId="0" borderId="13" xfId="0" applyNumberFormat="1" applyBorder="1"/>
    <xf numFmtId="168" fontId="0" fillId="0" borderId="13" xfId="0" applyNumberFormat="1" applyBorder="1"/>
    <xf numFmtId="166" fontId="0" fillId="0" borderId="13" xfId="0" applyNumberFormat="1" applyBorder="1"/>
    <xf numFmtId="166" fontId="10" fillId="3" borderId="13" xfId="0" applyNumberFormat="1" applyFont="1" applyFill="1" applyBorder="1" applyAlignment="1">
      <alignment horizontal="right"/>
    </xf>
    <xf numFmtId="8" fontId="11" fillId="0" borderId="13" xfId="0" applyNumberFormat="1" applyFont="1" applyBorder="1"/>
    <xf numFmtId="8" fontId="11" fillId="0" borderId="13" xfId="2" applyNumberFormat="1" applyFont="1" applyBorder="1"/>
    <xf numFmtId="8" fontId="11" fillId="0" borderId="13" xfId="2" applyNumberFormat="1" applyFont="1" applyFill="1" applyBorder="1"/>
    <xf numFmtId="0" fontId="7" fillId="5" borderId="13" xfId="0" applyFont="1" applyFill="1" applyBorder="1" applyAlignment="1">
      <alignment horizontal="center" vertical="center" wrapText="1"/>
    </xf>
    <xf numFmtId="0" fontId="10" fillId="11" borderId="13" xfId="0" applyFont="1" applyFill="1" applyBorder="1" applyAlignment="1">
      <alignment horizontal="center" vertical="center" wrapText="1"/>
    </xf>
    <xf numFmtId="0" fontId="15" fillId="0" borderId="36" xfId="0" applyFont="1" applyBorder="1"/>
    <xf numFmtId="44" fontId="8" fillId="0" borderId="36" xfId="0" applyNumberFormat="1" applyFont="1" applyBorder="1"/>
    <xf numFmtId="44" fontId="15" fillId="0" borderId="36" xfId="0" applyNumberFormat="1" applyFont="1" applyBorder="1"/>
    <xf numFmtId="0" fontId="11" fillId="0" borderId="37" xfId="0" applyFont="1" applyBorder="1"/>
    <xf numFmtId="17" fontId="11" fillId="0" borderId="37" xfId="0" applyNumberFormat="1" applyFont="1" applyBorder="1" applyAlignment="1">
      <alignment vertical="center"/>
    </xf>
    <xf numFmtId="4" fontId="11" fillId="0" borderId="37" xfId="0" applyNumberFormat="1" applyFont="1" applyBorder="1" applyAlignment="1">
      <alignment vertical="center"/>
    </xf>
    <xf numFmtId="0" fontId="11" fillId="0" borderId="37" xfId="0" applyFont="1" applyBorder="1" applyAlignment="1">
      <alignment vertical="center"/>
    </xf>
    <xf numFmtId="17" fontId="11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17" fontId="10" fillId="0" borderId="36" xfId="0" applyNumberFormat="1" applyFont="1" applyBorder="1"/>
    <xf numFmtId="0" fontId="11" fillId="0" borderId="36" xfId="0" applyFont="1" applyBorder="1"/>
    <xf numFmtId="43" fontId="11" fillId="0" borderId="13" xfId="3" applyFont="1" applyBorder="1"/>
    <xf numFmtId="44" fontId="11" fillId="0" borderId="13" xfId="2" applyFont="1" applyBorder="1" applyAlignment="1">
      <alignment horizontal="right"/>
    </xf>
    <xf numFmtId="43" fontId="11" fillId="13" borderId="13" xfId="3" applyFont="1" applyFill="1" applyBorder="1" applyAlignment="1">
      <alignment vertical="center"/>
    </xf>
    <xf numFmtId="0" fontId="31" fillId="0" borderId="0" xfId="10"/>
    <xf numFmtId="174" fontId="0" fillId="0" borderId="0" xfId="0" applyNumberFormat="1"/>
    <xf numFmtId="175" fontId="0" fillId="0" borderId="0" xfId="0" applyNumberFormat="1"/>
    <xf numFmtId="171" fontId="11" fillId="0" borderId="36" xfId="0" applyNumberFormat="1" applyFont="1" applyBorder="1"/>
    <xf numFmtId="173" fontId="11" fillId="3" borderId="13" xfId="3" applyNumberFormat="1" applyFont="1" applyFill="1" applyBorder="1" applyAlignment="1">
      <alignment horizontal="center"/>
    </xf>
    <xf numFmtId="4" fontId="11" fillId="0" borderId="36" xfId="0" applyNumberFormat="1" applyFont="1" applyBorder="1"/>
    <xf numFmtId="0" fontId="7" fillId="0" borderId="29" xfId="0" applyFont="1" applyBorder="1"/>
    <xf numFmtId="0" fontId="32" fillId="0" borderId="30" xfId="0" applyFont="1" applyBorder="1"/>
    <xf numFmtId="0" fontId="33" fillId="0" borderId="0" xfId="0" applyFont="1"/>
    <xf numFmtId="173" fontId="11" fillId="3" borderId="13" xfId="2" applyNumberFormat="1" applyFont="1" applyFill="1" applyBorder="1" applyAlignment="1">
      <alignment horizontal="center"/>
    </xf>
    <xf numFmtId="17" fontId="11" fillId="0" borderId="12" xfId="0" applyNumberFormat="1" applyFont="1" applyBorder="1" applyAlignment="1">
      <alignment horizontal="right"/>
    </xf>
    <xf numFmtId="17" fontId="11" fillId="0" borderId="35" xfId="0" applyNumberFormat="1" applyFont="1" applyBorder="1" applyAlignment="1">
      <alignment horizontal="right"/>
    </xf>
    <xf numFmtId="17" fontId="11" fillId="0" borderId="38" xfId="0" applyNumberFormat="1" applyFont="1" applyBorder="1"/>
    <xf numFmtId="176" fontId="1" fillId="0" borderId="0" xfId="0" applyNumberFormat="1" applyFont="1" applyAlignment="1">
      <alignment horizontal="center" wrapText="1"/>
    </xf>
    <xf numFmtId="177" fontId="0" fillId="0" borderId="12" xfId="3" applyNumberFormat="1" applyFont="1" applyFill="1" applyBorder="1"/>
    <xf numFmtId="9" fontId="5" fillId="0" borderId="31" xfId="1" applyFont="1" applyBorder="1" applyAlignment="1">
      <alignment horizontal="left"/>
    </xf>
    <xf numFmtId="167" fontId="10" fillId="0" borderId="13" xfId="0" applyNumberFormat="1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4" fontId="0" fillId="0" borderId="0" xfId="2" applyFont="1" applyFill="1"/>
    <xf numFmtId="178" fontId="11" fillId="0" borderId="13" xfId="0" applyNumberFormat="1" applyFont="1" applyBorder="1" applyAlignment="1">
      <alignment vertical="center"/>
    </xf>
    <xf numFmtId="44" fontId="11" fillId="0" borderId="13" xfId="0" applyNumberFormat="1" applyFont="1" applyBorder="1"/>
    <xf numFmtId="0" fontId="35" fillId="0" borderId="0" xfId="0" applyFont="1"/>
    <xf numFmtId="0" fontId="11" fillId="0" borderId="13" xfId="3" applyNumberFormat="1" applyFont="1" applyFill="1" applyBorder="1" applyAlignment="1">
      <alignment vertical="center"/>
    </xf>
    <xf numFmtId="14" fontId="11" fillId="0" borderId="13" xfId="3" applyNumberFormat="1" applyFont="1" applyFill="1" applyBorder="1" applyAlignment="1">
      <alignment vertical="center"/>
    </xf>
    <xf numFmtId="0" fontId="34" fillId="0" borderId="0" xfId="0" applyFont="1"/>
    <xf numFmtId="44" fontId="11" fillId="0" borderId="13" xfId="2" applyFont="1" applyFill="1" applyBorder="1"/>
    <xf numFmtId="4" fontId="11" fillId="0" borderId="13" xfId="0" applyNumberFormat="1" applyFont="1" applyBorder="1" applyAlignment="1">
      <alignment vertical="center"/>
    </xf>
    <xf numFmtId="17" fontId="8" fillId="0" borderId="13" xfId="0" quotePrefix="1" applyNumberFormat="1" applyFont="1" applyBorder="1" applyAlignment="1">
      <alignment horizontal="right"/>
    </xf>
    <xf numFmtId="17" fontId="11" fillId="0" borderId="35" xfId="0" applyNumberFormat="1" applyFont="1" applyBorder="1" applyAlignment="1">
      <alignment vertical="center"/>
    </xf>
    <xf numFmtId="17" fontId="10" fillId="0" borderId="39" xfId="0" applyNumberFormat="1" applyFont="1" applyBorder="1" applyAlignment="1">
      <alignment vertical="center"/>
    </xf>
    <xf numFmtId="17" fontId="11" fillId="0" borderId="37" xfId="0" quotePrefix="1" applyNumberFormat="1" applyFont="1" applyBorder="1" applyAlignment="1">
      <alignment horizontal="right" vertical="center"/>
    </xf>
    <xf numFmtId="17" fontId="6" fillId="0" borderId="13" xfId="0" applyNumberFormat="1" applyFont="1" applyBorder="1"/>
    <xf numFmtId="2" fontId="11" fillId="0" borderId="37" xfId="0" applyNumberFormat="1" applyFont="1" applyBorder="1" applyAlignment="1">
      <alignment vertical="center"/>
    </xf>
    <xf numFmtId="2" fontId="11" fillId="0" borderId="13" xfId="0" applyNumberFormat="1" applyFont="1" applyBorder="1" applyAlignment="1">
      <alignment vertical="center"/>
    </xf>
    <xf numFmtId="2" fontId="11" fillId="0" borderId="36" xfId="0" applyNumberFormat="1" applyFont="1" applyBorder="1"/>
    <xf numFmtId="10" fontId="0" fillId="0" borderId="0" xfId="0" applyNumberFormat="1"/>
    <xf numFmtId="14" fontId="11" fillId="0" borderId="13" xfId="3" applyNumberFormat="1" applyFont="1" applyBorder="1" applyAlignment="1">
      <alignment horizontal="right" wrapText="1"/>
    </xf>
    <xf numFmtId="14" fontId="11" fillId="0" borderId="13" xfId="3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17" fontId="0" fillId="0" borderId="13" xfId="0" applyNumberFormat="1" applyBorder="1" applyAlignment="1">
      <alignment horizontal="right"/>
    </xf>
    <xf numFmtId="43" fontId="11" fillId="0" borderId="13" xfId="3" applyFont="1" applyFill="1" applyBorder="1" applyAlignment="1">
      <alignment vertical="center"/>
    </xf>
    <xf numFmtId="14" fontId="0" fillId="0" borderId="0" xfId="0" applyNumberFormat="1"/>
    <xf numFmtId="179" fontId="36" fillId="0" borderId="12" xfId="0" applyNumberFormat="1" applyFont="1" applyBorder="1" applyAlignment="1">
      <alignment horizontal="center"/>
    </xf>
    <xf numFmtId="10" fontId="11" fillId="0" borderId="13" xfId="1" applyNumberFormat="1" applyFont="1" applyFill="1" applyBorder="1"/>
    <xf numFmtId="0" fontId="7" fillId="15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37" fillId="0" borderId="0" xfId="0" applyFont="1"/>
    <xf numFmtId="0" fontId="38" fillId="0" borderId="0" xfId="0" applyFont="1" applyAlignment="1">
      <alignment vertical="center"/>
    </xf>
    <xf numFmtId="43" fontId="11" fillId="0" borderId="36" xfId="3" applyFont="1" applyBorder="1"/>
    <xf numFmtId="43" fontId="11" fillId="0" borderId="37" xfId="3" applyFont="1" applyBorder="1" applyAlignment="1">
      <alignment vertical="center"/>
    </xf>
    <xf numFmtId="0" fontId="39" fillId="0" borderId="13" xfId="3" applyNumberFormat="1" applyFont="1" applyBorder="1" applyAlignment="1">
      <alignment vertical="center"/>
    </xf>
    <xf numFmtId="0" fontId="39" fillId="0" borderId="13" xfId="3" applyNumberFormat="1" applyFont="1" applyFill="1" applyBorder="1" applyAlignment="1">
      <alignment vertical="center"/>
    </xf>
    <xf numFmtId="0" fontId="39" fillId="14" borderId="13" xfId="3" applyNumberFormat="1" applyFont="1" applyFill="1" applyBorder="1" applyAlignment="1">
      <alignment vertical="center"/>
    </xf>
    <xf numFmtId="43" fontId="39" fillId="14" borderId="13" xfId="3" applyFont="1" applyFill="1" applyBorder="1" applyAlignment="1">
      <alignment vertical="center"/>
    </xf>
    <xf numFmtId="43" fontId="39" fillId="0" borderId="13" xfId="3" applyFont="1" applyFill="1" applyBorder="1" applyAlignment="1">
      <alignment vertical="center"/>
    </xf>
    <xf numFmtId="0" fontId="8" fillId="0" borderId="1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1" fillId="0" borderId="13" xfId="3" applyNumberFormat="1" applyFont="1" applyFill="1" applyBorder="1" applyAlignment="1">
      <alignment horizontal="right" vertical="center"/>
    </xf>
    <xf numFmtId="0" fontId="11" fillId="0" borderId="13" xfId="3" applyNumberFormat="1" applyFont="1" applyBorder="1" applyAlignment="1">
      <alignment horizontal="right" vertical="center"/>
    </xf>
    <xf numFmtId="14" fontId="11" fillId="0" borderId="13" xfId="3" applyNumberFormat="1" applyFont="1" applyFill="1" applyBorder="1" applyAlignment="1">
      <alignment horizontal="right" vertical="center"/>
    </xf>
    <xf numFmtId="44" fontId="6" fillId="0" borderId="13" xfId="2" applyFont="1" applyFill="1" applyBorder="1"/>
    <xf numFmtId="0" fontId="11" fillId="0" borderId="13" xfId="0" quotePrefix="1" applyFont="1" applyBorder="1"/>
    <xf numFmtId="0" fontId="11" fillId="0" borderId="13" xfId="3" applyNumberFormat="1" applyFont="1" applyBorder="1" applyAlignment="1">
      <alignment horizontal="left" vertical="center"/>
    </xf>
    <xf numFmtId="171" fontId="6" fillId="0" borderId="22" xfId="0" applyNumberFormat="1" applyFont="1" applyBorder="1" applyAlignment="1">
      <alignment horizontal="center" vertical="center"/>
    </xf>
    <xf numFmtId="171" fontId="0" fillId="0" borderId="22" xfId="0" applyNumberFormat="1" applyBorder="1" applyAlignment="1">
      <alignment vertical="center"/>
    </xf>
    <xf numFmtId="171" fontId="11" fillId="0" borderId="13" xfId="0" applyNumberFormat="1" applyFont="1" applyBorder="1"/>
    <xf numFmtId="164" fontId="8" fillId="0" borderId="0" xfId="3" quotePrefix="1" applyNumberFormat="1" applyFont="1" applyBorder="1" applyAlignment="1">
      <alignment horizontal="right" vertical="center"/>
    </xf>
    <xf numFmtId="171" fontId="11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166" fontId="11" fillId="0" borderId="0" xfId="0" applyNumberFormat="1" applyFont="1"/>
    <xf numFmtId="10" fontId="11" fillId="0" borderId="0" xfId="1" applyNumberFormat="1" applyFont="1" applyBorder="1"/>
    <xf numFmtId="0" fontId="11" fillId="0" borderId="0" xfId="0" quotePrefix="1" applyFont="1"/>
    <xf numFmtId="180" fontId="0" fillId="0" borderId="22" xfId="0" applyNumberFormat="1" applyBorder="1" applyAlignment="1">
      <alignment vertical="center"/>
    </xf>
    <xf numFmtId="0" fontId="11" fillId="0" borderId="16" xfId="0" applyFont="1" applyBorder="1"/>
    <xf numFmtId="0" fontId="11" fillId="0" borderId="38" xfId="0" applyFont="1" applyBorder="1" applyAlignment="1">
      <alignment vertical="center"/>
    </xf>
    <xf numFmtId="0" fontId="11" fillId="0" borderId="40" xfId="0" applyFont="1" applyBorder="1"/>
    <xf numFmtId="0" fontId="11" fillId="0" borderId="12" xfId="0" applyFont="1" applyBorder="1" applyAlignment="1">
      <alignment vertical="center"/>
    </xf>
    <xf numFmtId="2" fontId="11" fillId="0" borderId="40" xfId="0" applyNumberFormat="1" applyFont="1" applyBorder="1"/>
    <xf numFmtId="0" fontId="14" fillId="11" borderId="0" xfId="0" applyFont="1" applyFill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9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23" fillId="10" borderId="0" xfId="0" applyFont="1" applyFill="1" applyAlignment="1">
      <alignment horizontal="center" vertical="center"/>
    </xf>
    <xf numFmtId="44" fontId="16" fillId="0" borderId="14" xfId="2" applyFont="1" applyBorder="1" applyAlignment="1">
      <alignment horizontal="center" vertical="center"/>
    </xf>
    <xf numFmtId="44" fontId="16" fillId="0" borderId="15" xfId="2" applyFont="1" applyBorder="1" applyAlignment="1">
      <alignment horizontal="center" vertical="center"/>
    </xf>
    <xf numFmtId="44" fontId="16" fillId="0" borderId="16" xfId="2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7" fillId="8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7" fillId="9" borderId="13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9" fontId="0" fillId="0" borderId="24" xfId="1" applyFont="1" applyBorder="1" applyAlignment="1">
      <alignment horizontal="center" vertical="center"/>
    </xf>
    <xf numFmtId="9" fontId="0" fillId="0" borderId="28" xfId="1" applyFont="1" applyBorder="1" applyAlignment="1">
      <alignment horizontal="center" vertical="center"/>
    </xf>
    <xf numFmtId="9" fontId="0" fillId="0" borderId="24" xfId="1" applyFont="1" applyFill="1" applyBorder="1" applyAlignment="1">
      <alignment horizontal="center" vertical="center"/>
    </xf>
    <xf numFmtId="9" fontId="0" fillId="0" borderId="28" xfId="1" applyFont="1" applyFill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28" fillId="0" borderId="32" xfId="0" applyFont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8" fillId="0" borderId="34" xfId="0" applyFont="1" applyBorder="1" applyAlignment="1">
      <alignment horizontal="center"/>
    </xf>
    <xf numFmtId="0" fontId="20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10" borderId="0" xfId="0" applyFill="1" applyAlignment="1">
      <alignment horizontal="left" vertical="top" wrapText="1"/>
    </xf>
    <xf numFmtId="0" fontId="22" fillId="0" borderId="0" xfId="0" applyFont="1" applyAlignment="1">
      <alignment horizontal="center" wrapText="1"/>
    </xf>
    <xf numFmtId="0" fontId="7" fillId="9" borderId="14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7" fillId="5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184" fontId="44" fillId="16" borderId="12" xfId="22" applyFont="1" applyFill="1" applyBorder="1"/>
  </cellXfs>
  <cellStyles count="23">
    <cellStyle name="Hiperlink" xfId="10" builtinId="8"/>
    <cellStyle name="Moeda" xfId="2" builtinId="4"/>
    <cellStyle name="Moeda 2" xfId="4" xr:uid="{00000000-0005-0000-0000-000001000000}"/>
    <cellStyle name="Moeda 2 2" xfId="7" xr:uid="{00000000-0005-0000-0000-000002000000}"/>
    <cellStyle name="Moeda 3" xfId="5" xr:uid="{00000000-0005-0000-0000-000003000000}"/>
    <cellStyle name="Normal" xfId="0" builtinId="0"/>
    <cellStyle name="Normal 2" xfId="9" xr:uid="{3AB4ADCA-4C73-4D7B-A5D6-8605E3D661B0}"/>
    <cellStyle name="Normal 2 2" xfId="8" xr:uid="{00000000-0005-0000-0000-000005000000}"/>
    <cellStyle name="Normal 2 3" xfId="12" xr:uid="{73E5073E-C927-468F-8E61-3762492F07A6}"/>
    <cellStyle name="Normal 3" xfId="13" xr:uid="{04884CC2-3C4E-4C5E-A367-9590F4163850}"/>
    <cellStyle name="Normal 4" xfId="14" xr:uid="{2F69F470-9211-465D-AB63-D87D5F96B7E5}"/>
    <cellStyle name="Normal 4 2" xfId="15" xr:uid="{D7971481-7711-41F8-AD07-39DA3C2FFF74}"/>
    <cellStyle name="Normal 5" xfId="16" xr:uid="{464A9D5F-112A-4580-A242-8DC97C6972B2}"/>
    <cellStyle name="Normal 6" xfId="21" xr:uid="{06E54BA0-38AB-4BE5-8BCE-48091702FC30}"/>
    <cellStyle name="Porcentagem" xfId="1" builtinId="5"/>
    <cellStyle name="Porcentagem 2" xfId="17" xr:uid="{24C31271-7D90-4548-AD86-536E537DEB55}"/>
    <cellStyle name="Vírgula" xfId="3" builtinId="3"/>
    <cellStyle name="Vírgula 2" xfId="6" xr:uid="{00000000-0005-0000-0000-000008000000}"/>
    <cellStyle name="Vírgula 2 2" xfId="19" xr:uid="{2ED36F4C-808A-452F-A5A8-6794A2D7AAA4}"/>
    <cellStyle name="Vírgula 3" xfId="11" xr:uid="{39BD00CF-CB7E-4D33-98D4-5D8FDE3356F7}"/>
    <cellStyle name="Vírgula 3 2" xfId="20" xr:uid="{F546D95A-B634-40B1-939F-514D7F2C0B7A}"/>
    <cellStyle name="Vírgula 4" xfId="18" xr:uid="{5DD639CC-D155-42A3-B489-FB3E9F657DD5}"/>
    <cellStyle name="Vírgula 5" xfId="22" xr:uid="{4C04503F-1077-4F1C-9988-9501191F3507}"/>
  </cellStyles>
  <dxfs count="0"/>
  <tableStyles count="0" defaultTableStyle="TableStyleMedium2" defaultPivotStyle="PivotStyleLight16"/>
  <colors>
    <mruColors>
      <color rgb="FF08296C"/>
      <color rgb="FF000C4C"/>
      <color rgb="FFFFCB05"/>
      <color rgb="FFEF4123"/>
      <color rgb="FF0E2050"/>
      <color rgb="FFF99D33"/>
      <color rgb="FF00909E"/>
      <color rgb="FF007B77"/>
      <color rgb="FF0073AE"/>
      <color rgb="FFFFC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338667</xdr:colOff>
      <xdr:row>1</xdr:row>
      <xdr:rowOff>42333</xdr:rowOff>
    </xdr:from>
    <xdr:to>
      <xdr:col>2</xdr:col>
      <xdr:colOff>724959</xdr:colOff>
      <xdr:row>2</xdr:row>
      <xdr:rowOff>116121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E37A9A9-8F6C-47BB-A35A-988352781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3834" y="232833"/>
          <a:ext cx="1381125" cy="2642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0</xdr:row>
      <xdr:rowOff>161925</xdr:rowOff>
    </xdr:from>
    <xdr:to>
      <xdr:col>2</xdr:col>
      <xdr:colOff>977900</xdr:colOff>
      <xdr:row>2</xdr:row>
      <xdr:rowOff>48388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EAF8249-EBA5-4177-9B1E-8B1ED63A5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61925"/>
          <a:ext cx="1381125" cy="2642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133350</xdr:rowOff>
    </xdr:from>
    <xdr:to>
      <xdr:col>2</xdr:col>
      <xdr:colOff>304800</xdr:colOff>
      <xdr:row>2</xdr:row>
      <xdr:rowOff>16638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FEFCF7-465C-4215-BBA6-FDE38D41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33350"/>
          <a:ext cx="1381125" cy="26428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1</xdr:row>
      <xdr:rowOff>28575</xdr:rowOff>
    </xdr:from>
    <xdr:to>
      <xdr:col>3</xdr:col>
      <xdr:colOff>200828</xdr:colOff>
      <xdr:row>2</xdr:row>
      <xdr:rowOff>156882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0E94D21-4F3B-41F1-9AFA-649F38650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460" y="222810"/>
          <a:ext cx="1717544" cy="3150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3</xdr:col>
      <xdr:colOff>2103531</xdr:colOff>
      <xdr:row>59</xdr:row>
      <xdr:rowOff>126026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C2796F-8C1C-F48D-67F6-6A420EF73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9043147"/>
          <a:ext cx="3899647" cy="37150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92</xdr:row>
      <xdr:rowOff>132895</xdr:rowOff>
    </xdr:from>
    <xdr:to>
      <xdr:col>3</xdr:col>
      <xdr:colOff>829423</xdr:colOff>
      <xdr:row>113</xdr:row>
      <xdr:rowOff>45236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1C6DC1-B3D3-4C2E-9DF1-5292F94B9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456181"/>
          <a:ext cx="3898287" cy="3728691"/>
        </a:xfrm>
        <a:prstGeom prst="rect">
          <a:avLst/>
        </a:prstGeom>
      </xdr:spPr>
    </xdr:pic>
    <xdr:clientData/>
  </xdr:twoCellAnchor>
  <xdr:twoCellAnchor editAs="oneCell">
    <xdr:from>
      <xdr:col>0</xdr:col>
      <xdr:colOff>367391</xdr:colOff>
      <xdr:row>1</xdr:row>
      <xdr:rowOff>255360</xdr:rowOff>
    </xdr:from>
    <xdr:to>
      <xdr:col>2</xdr:col>
      <xdr:colOff>707402</xdr:colOff>
      <xdr:row>2</xdr:row>
      <xdr:rowOff>122464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F6A40D87-3F5B-204D-CD58-9D61B9D65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391" y="432253"/>
          <a:ext cx="1959261" cy="35696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</xdr:row>
      <xdr:rowOff>38100</xdr:rowOff>
    </xdr:from>
    <xdr:to>
      <xdr:col>2</xdr:col>
      <xdr:colOff>590550</xdr:colOff>
      <xdr:row>2</xdr:row>
      <xdr:rowOff>111888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DF2CBDC-1F9F-46B2-9FAD-FDD303E9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" y="228600"/>
          <a:ext cx="1381125" cy="264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227771</xdr:colOff>
      <xdr:row>1</xdr:row>
      <xdr:rowOff>31059</xdr:rowOff>
    </xdr:from>
    <xdr:to>
      <xdr:col>1</xdr:col>
      <xdr:colOff>1608896</xdr:colOff>
      <xdr:row>2</xdr:row>
      <xdr:rowOff>102639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77609B0-5F43-4D76-83C2-84DDAC033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483" y="217418"/>
          <a:ext cx="1381125" cy="2642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0</xdr:row>
      <xdr:rowOff>161925</xdr:rowOff>
    </xdr:from>
    <xdr:to>
      <xdr:col>2</xdr:col>
      <xdr:colOff>920750</xdr:colOff>
      <xdr:row>2</xdr:row>
      <xdr:rowOff>66478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0F84B-3B8D-42DA-B6A2-E739E0D8B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5" y="161925"/>
          <a:ext cx="1492250" cy="2855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324970</xdr:colOff>
      <xdr:row>1</xdr:row>
      <xdr:rowOff>44824</xdr:rowOff>
    </xdr:from>
    <xdr:to>
      <xdr:col>3</xdr:col>
      <xdr:colOff>237710</xdr:colOff>
      <xdr:row>2</xdr:row>
      <xdr:rowOff>124962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E5C3AF5-EC8B-424C-9984-5A206C65C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088" y="235324"/>
          <a:ext cx="1381125" cy="2642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297656</xdr:colOff>
      <xdr:row>0</xdr:row>
      <xdr:rowOff>202406</xdr:rowOff>
    </xdr:from>
    <xdr:to>
      <xdr:col>3</xdr:col>
      <xdr:colOff>222249</xdr:colOff>
      <xdr:row>2</xdr:row>
      <xdr:rowOff>30218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7AE15B4-6E4F-43B9-8C77-98E13F8EB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1031" y="202406"/>
          <a:ext cx="1269999" cy="30961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9525</xdr:rowOff>
    </xdr:from>
    <xdr:to>
      <xdr:col>3</xdr:col>
      <xdr:colOff>400050</xdr:colOff>
      <xdr:row>2</xdr:row>
      <xdr:rowOff>86488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373E727-BC6A-4D56-A8A1-56C2952A4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200025"/>
          <a:ext cx="1381125" cy="26428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171450</xdr:rowOff>
    </xdr:from>
    <xdr:to>
      <xdr:col>2</xdr:col>
      <xdr:colOff>561975</xdr:colOff>
      <xdr:row>2</xdr:row>
      <xdr:rowOff>28575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D2B4A11-35AA-4E44-9CB9-7A3B0C773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171450"/>
          <a:ext cx="1000125" cy="238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0</xdr:rowOff>
    </xdr:from>
    <xdr:to>
      <xdr:col>3</xdr:col>
      <xdr:colOff>209550</xdr:colOff>
      <xdr:row>2</xdr:row>
      <xdr:rowOff>73788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308BE96-3DA4-4F95-90CE-2FA28E85F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90500"/>
          <a:ext cx="1381125" cy="26428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104775</xdr:rowOff>
    </xdr:from>
    <xdr:to>
      <xdr:col>1</xdr:col>
      <xdr:colOff>1638300</xdr:colOff>
      <xdr:row>3</xdr:row>
      <xdr:rowOff>763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5BC2D0-D372-4E17-B76F-4D1E335CF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295275"/>
          <a:ext cx="1381125" cy="2642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showGridLines="0" topLeftCell="A11" zoomScale="85" zoomScaleNormal="85" workbookViewId="0">
      <selection activeCell="R5" sqref="R5"/>
    </sheetView>
  </sheetViews>
  <sheetFormatPr defaultColWidth="9.1796875" defaultRowHeight="25" customHeight="1" x14ac:dyDescent="0.35"/>
  <cols>
    <col min="1" max="1" width="22" bestFit="1" customWidth="1"/>
    <col min="2" max="2" width="9.1796875" customWidth="1"/>
    <col min="4" max="4" width="12.7265625" customWidth="1"/>
    <col min="7" max="7" width="11.1796875" customWidth="1"/>
    <col min="8" max="8" width="14.453125" customWidth="1"/>
    <col min="10" max="10" width="11" customWidth="1"/>
  </cols>
  <sheetData>
    <row r="1" spans="1:11" ht="25" customHeight="1" x14ac:dyDescent="0.45">
      <c r="C1" s="252" t="s">
        <v>162</v>
      </c>
      <c r="D1" s="252"/>
      <c r="E1" s="252"/>
      <c r="F1" s="252"/>
      <c r="G1" s="252"/>
    </row>
    <row r="2" spans="1:11" ht="25" customHeight="1" x14ac:dyDescent="0.35">
      <c r="B2" s="40"/>
      <c r="C2" s="253" t="s">
        <v>163</v>
      </c>
      <c r="D2" s="253"/>
      <c r="E2" s="253"/>
      <c r="F2" s="253"/>
      <c r="G2" s="253"/>
    </row>
    <row r="3" spans="1:11" ht="25" customHeight="1" x14ac:dyDescent="0.35">
      <c r="B3" s="41"/>
      <c r="C3" s="254" t="s">
        <v>164</v>
      </c>
      <c r="D3" s="254"/>
      <c r="E3" s="254"/>
      <c r="F3" s="254"/>
      <c r="G3" s="254"/>
    </row>
    <row r="4" spans="1:11" ht="25" customHeight="1" x14ac:dyDescent="0.35">
      <c r="B4" s="40"/>
      <c r="C4" s="255" t="s">
        <v>165</v>
      </c>
      <c r="D4" s="255"/>
      <c r="E4" s="255"/>
      <c r="F4" s="255"/>
      <c r="G4" s="255"/>
    </row>
    <row r="5" spans="1:11" ht="25" customHeight="1" x14ac:dyDescent="0.35">
      <c r="B5" s="41"/>
      <c r="C5" s="256" t="s">
        <v>167</v>
      </c>
      <c r="D5" s="256"/>
      <c r="E5" s="256"/>
      <c r="F5" s="256"/>
      <c r="G5" s="256"/>
    </row>
    <row r="6" spans="1:11" ht="25" customHeight="1" x14ac:dyDescent="0.35">
      <c r="B6" s="40"/>
      <c r="C6" s="250" t="s">
        <v>166</v>
      </c>
      <c r="D6" s="250"/>
      <c r="E6" s="250"/>
      <c r="F6" s="250"/>
      <c r="G6" s="250"/>
    </row>
    <row r="8" spans="1:11" ht="25" customHeight="1" x14ac:dyDescent="0.45">
      <c r="A8" s="251" t="s">
        <v>168</v>
      </c>
      <c r="B8" s="251"/>
      <c r="C8" s="251"/>
      <c r="D8" s="251"/>
      <c r="E8" s="251"/>
      <c r="F8" s="251"/>
      <c r="G8" s="251"/>
      <c r="H8" s="38"/>
      <c r="I8" s="38"/>
      <c r="J8" s="38"/>
      <c r="K8" s="38"/>
    </row>
    <row r="9" spans="1:11" ht="25" customHeight="1" x14ac:dyDescent="0.35">
      <c r="A9" s="1" t="s">
        <v>172</v>
      </c>
      <c r="B9" t="s">
        <v>190</v>
      </c>
    </row>
    <row r="10" spans="1:11" ht="25" customHeight="1" x14ac:dyDescent="0.35">
      <c r="A10" s="1" t="s">
        <v>169</v>
      </c>
      <c r="B10" t="s">
        <v>191</v>
      </c>
    </row>
    <row r="11" spans="1:11" ht="25" customHeight="1" x14ac:dyDescent="0.35">
      <c r="A11" s="1" t="s">
        <v>170</v>
      </c>
      <c r="B11" t="s">
        <v>180</v>
      </c>
    </row>
    <row r="12" spans="1:11" ht="25" customHeight="1" x14ac:dyDescent="0.35">
      <c r="A12" s="1" t="s">
        <v>171</v>
      </c>
      <c r="B12" t="s">
        <v>181</v>
      </c>
    </row>
    <row r="13" spans="1:11" ht="25" customHeight="1" x14ac:dyDescent="0.35">
      <c r="A13" s="1" t="s">
        <v>173</v>
      </c>
      <c r="B13" t="s">
        <v>182</v>
      </c>
    </row>
    <row r="14" spans="1:11" ht="25" customHeight="1" x14ac:dyDescent="0.35">
      <c r="A14" s="1" t="s">
        <v>174</v>
      </c>
      <c r="B14" t="s">
        <v>183</v>
      </c>
    </row>
    <row r="15" spans="1:11" ht="25" customHeight="1" x14ac:dyDescent="0.35">
      <c r="A15" s="1" t="s">
        <v>175</v>
      </c>
      <c r="B15" t="s">
        <v>182</v>
      </c>
    </row>
    <row r="16" spans="1:11" ht="25" customHeight="1" x14ac:dyDescent="0.35">
      <c r="A16" s="1" t="s">
        <v>176</v>
      </c>
      <c r="B16" t="s">
        <v>192</v>
      </c>
    </row>
    <row r="17" spans="1:2" ht="25" customHeight="1" x14ac:dyDescent="0.35">
      <c r="A17" s="1" t="s">
        <v>204</v>
      </c>
      <c r="B17" t="s">
        <v>186</v>
      </c>
    </row>
    <row r="18" spans="1:2" ht="25" customHeight="1" x14ac:dyDescent="0.35">
      <c r="A18" s="1" t="s">
        <v>177</v>
      </c>
      <c r="B18" t="s">
        <v>184</v>
      </c>
    </row>
    <row r="19" spans="1:2" ht="25" customHeight="1" x14ac:dyDescent="0.35">
      <c r="A19" s="1" t="s">
        <v>178</v>
      </c>
      <c r="B19" t="s">
        <v>185</v>
      </c>
    </row>
    <row r="20" spans="1:2" ht="25" customHeight="1" x14ac:dyDescent="0.35">
      <c r="A20" s="1" t="s">
        <v>179</v>
      </c>
      <c r="B20" t="s">
        <v>187</v>
      </c>
    </row>
    <row r="21" spans="1:2" ht="25" customHeight="1" x14ac:dyDescent="0.35">
      <c r="A21" s="1" t="s">
        <v>112</v>
      </c>
      <c r="B21" t="s">
        <v>188</v>
      </c>
    </row>
  </sheetData>
  <mergeCells count="7">
    <mergeCell ref="C6:G6"/>
    <mergeCell ref="A8:G8"/>
    <mergeCell ref="C1:G1"/>
    <mergeCell ref="C2:G2"/>
    <mergeCell ref="C3:G3"/>
    <mergeCell ref="C4:G4"/>
    <mergeCell ref="C5:G5"/>
  </mergeCells>
  <pageMargins left="0.511811024" right="0.511811024" top="0.78740157499999996" bottom="0.78740157499999996" header="0.31496062000000002" footer="0.31496062000000002"/>
  <pageSetup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29"/>
  <sheetViews>
    <sheetView showGridLines="0" workbookViewId="0">
      <selection activeCell="D6" sqref="D6"/>
    </sheetView>
  </sheetViews>
  <sheetFormatPr defaultRowHeight="14.5" x14ac:dyDescent="0.35"/>
  <cols>
    <col min="2" max="2" width="31.453125" style="2" customWidth="1"/>
    <col min="3" max="3" width="11.453125" style="3" customWidth="1"/>
    <col min="4" max="4" width="19.54296875" bestFit="1" customWidth="1"/>
    <col min="5" max="5" width="19.453125" customWidth="1"/>
    <col min="6" max="6" width="12.7265625" customWidth="1"/>
    <col min="7" max="7" width="19.54296875" bestFit="1" customWidth="1"/>
    <col min="9" max="9" width="15.54296875" customWidth="1"/>
    <col min="10" max="10" width="16.81640625" customWidth="1"/>
  </cols>
  <sheetData>
    <row r="1" spans="2:10" x14ac:dyDescent="0.35">
      <c r="B1" s="287" t="s">
        <v>256</v>
      </c>
      <c r="C1" s="287"/>
      <c r="D1" s="287"/>
      <c r="E1" s="287"/>
      <c r="F1" s="287"/>
      <c r="G1" s="287"/>
      <c r="H1" s="287"/>
      <c r="I1" s="287"/>
      <c r="J1" s="287"/>
    </row>
    <row r="2" spans="2:10" x14ac:dyDescent="0.35">
      <c r="B2" s="287"/>
      <c r="C2" s="287"/>
      <c r="D2" s="287"/>
      <c r="E2" s="287"/>
      <c r="F2" s="287"/>
      <c r="G2" s="287"/>
      <c r="H2" s="287"/>
      <c r="I2" s="287"/>
      <c r="J2" s="287"/>
    </row>
    <row r="3" spans="2:10" x14ac:dyDescent="0.35">
      <c r="B3" s="287"/>
      <c r="C3" s="287"/>
      <c r="D3" s="287"/>
      <c r="E3" s="287"/>
      <c r="F3" s="287"/>
      <c r="G3" s="287"/>
      <c r="H3" s="287"/>
      <c r="I3" s="287"/>
      <c r="J3" s="287"/>
    </row>
    <row r="5" spans="2:10" s="4" customFormat="1" ht="28.5" customHeight="1" x14ac:dyDescent="0.35">
      <c r="C5" s="143" t="s">
        <v>19</v>
      </c>
      <c r="D5" s="74" t="s">
        <v>257</v>
      </c>
    </row>
    <row r="6" spans="2:10" ht="29" x14ac:dyDescent="0.35">
      <c r="B6" s="145" t="s">
        <v>234</v>
      </c>
      <c r="C6" s="138" t="s">
        <v>249</v>
      </c>
      <c r="D6" s="214">
        <v>0.95379800000000003</v>
      </c>
      <c r="E6" s="183"/>
      <c r="F6" s="4"/>
      <c r="G6" s="4"/>
      <c r="H6" s="4"/>
    </row>
    <row r="7" spans="2:10" x14ac:dyDescent="0.35">
      <c r="B7" s="74" t="s">
        <v>93</v>
      </c>
      <c r="C7" s="138"/>
      <c r="D7" s="139">
        <v>2400000</v>
      </c>
      <c r="E7" s="4"/>
      <c r="F7" s="4"/>
      <c r="G7" s="4"/>
      <c r="H7" s="4"/>
    </row>
    <row r="8" spans="2:10" x14ac:dyDescent="0.35">
      <c r="B8" s="140" t="s">
        <v>91</v>
      </c>
      <c r="C8" s="138"/>
      <c r="D8" s="139">
        <f>D7/12</f>
        <v>200000</v>
      </c>
      <c r="E8" s="4"/>
      <c r="F8" s="4"/>
      <c r="G8" s="4"/>
      <c r="H8" s="4"/>
    </row>
    <row r="9" spans="2:10" x14ac:dyDescent="0.35">
      <c r="B9" s="74" t="s">
        <v>94</v>
      </c>
      <c r="C9" s="138"/>
      <c r="D9" s="139">
        <v>7000000</v>
      </c>
      <c r="E9" s="4"/>
      <c r="F9" s="4"/>
      <c r="G9" s="4"/>
      <c r="H9" s="4"/>
    </row>
    <row r="10" spans="2:10" x14ac:dyDescent="0.35">
      <c r="B10" s="140" t="s">
        <v>92</v>
      </c>
      <c r="C10" s="138"/>
      <c r="D10" s="139">
        <f>D9/12</f>
        <v>583333.33333333337</v>
      </c>
      <c r="E10" s="4"/>
      <c r="F10" s="4"/>
      <c r="G10" s="4"/>
      <c r="H10" s="4"/>
    </row>
    <row r="11" spans="2:10" x14ac:dyDescent="0.35">
      <c r="B11" s="74" t="s">
        <v>20</v>
      </c>
      <c r="C11" s="141">
        <v>43070</v>
      </c>
      <c r="D11" s="142">
        <v>0</v>
      </c>
      <c r="E11" s="4"/>
      <c r="F11" s="4"/>
      <c r="G11" s="4"/>
      <c r="H11" s="4"/>
    </row>
    <row r="12" spans="2:10" x14ac:dyDescent="0.35">
      <c r="B12" s="140" t="s">
        <v>21</v>
      </c>
      <c r="C12" s="138" t="s">
        <v>23</v>
      </c>
      <c r="D12" s="142">
        <f>D11/5</f>
        <v>0</v>
      </c>
      <c r="E12" s="4"/>
      <c r="F12" s="4"/>
      <c r="G12" s="4"/>
      <c r="H12" s="4"/>
    </row>
    <row r="13" spans="2:10" ht="29" x14ac:dyDescent="0.35">
      <c r="B13" s="140" t="s">
        <v>22</v>
      </c>
      <c r="C13" s="138" t="s">
        <v>31</v>
      </c>
      <c r="D13" s="142">
        <f>D12/12</f>
        <v>0</v>
      </c>
      <c r="E13" s="4"/>
      <c r="F13" s="4"/>
      <c r="G13" s="4"/>
      <c r="H13" s="4"/>
    </row>
    <row r="14" spans="2:10" hidden="1" x14ac:dyDescent="0.35">
      <c r="B14" s="74" t="s">
        <v>218</v>
      </c>
      <c r="C14" s="138"/>
      <c r="D14" s="142">
        <v>0</v>
      </c>
      <c r="E14" s="4"/>
      <c r="F14" s="4"/>
      <c r="G14" s="4"/>
      <c r="H14" s="4"/>
    </row>
    <row r="15" spans="2:10" hidden="1" x14ac:dyDescent="0.35">
      <c r="B15" s="140" t="s">
        <v>218</v>
      </c>
      <c r="C15" s="138" t="s">
        <v>90</v>
      </c>
      <c r="D15" s="142">
        <f>D14/2</f>
        <v>0</v>
      </c>
      <c r="E15" s="4"/>
      <c r="F15" s="4"/>
      <c r="G15" s="4"/>
      <c r="H15" s="4"/>
    </row>
    <row r="16" spans="2:10" hidden="1" x14ac:dyDescent="0.35">
      <c r="B16" s="140" t="s">
        <v>218</v>
      </c>
      <c r="C16" s="138" t="s">
        <v>36</v>
      </c>
      <c r="D16" s="142">
        <f>D15/12</f>
        <v>0</v>
      </c>
      <c r="E16" s="4"/>
      <c r="F16" s="4"/>
      <c r="G16" s="4"/>
      <c r="H16" s="4"/>
    </row>
    <row r="17" spans="2:8" ht="43.5" x14ac:dyDescent="0.35">
      <c r="B17" s="74" t="s">
        <v>292</v>
      </c>
      <c r="C17" s="138" t="s">
        <v>90</v>
      </c>
      <c r="D17" s="79">
        <v>0</v>
      </c>
      <c r="E17" s="4"/>
      <c r="F17" s="4"/>
      <c r="G17" s="4"/>
      <c r="H17" s="4"/>
    </row>
    <row r="18" spans="2:8" ht="29" x14ac:dyDescent="0.35">
      <c r="B18" s="140" t="s">
        <v>24</v>
      </c>
      <c r="C18" s="138" t="s">
        <v>31</v>
      </c>
      <c r="D18" s="79">
        <f>D17/12</f>
        <v>0</v>
      </c>
      <c r="E18" s="4"/>
      <c r="F18" s="4"/>
      <c r="G18" s="4"/>
      <c r="H18" s="4"/>
    </row>
    <row r="19" spans="2:8" hidden="1" x14ac:dyDescent="0.35">
      <c r="B19" s="74" t="s">
        <v>219</v>
      </c>
      <c r="C19" s="138"/>
      <c r="D19" s="79">
        <v>0</v>
      </c>
      <c r="E19" s="4"/>
      <c r="F19" s="4"/>
      <c r="G19" s="4"/>
      <c r="H19" s="4"/>
    </row>
    <row r="20" spans="2:8" hidden="1" x14ac:dyDescent="0.35">
      <c r="B20" s="140" t="s">
        <v>219</v>
      </c>
      <c r="C20" s="138" t="s">
        <v>90</v>
      </c>
      <c r="D20" s="79">
        <f>D19/2</f>
        <v>0</v>
      </c>
      <c r="E20" s="4"/>
      <c r="F20" s="4"/>
      <c r="G20" s="4"/>
      <c r="H20" s="4"/>
    </row>
    <row r="21" spans="2:8" hidden="1" x14ac:dyDescent="0.35">
      <c r="B21" s="140" t="s">
        <v>219</v>
      </c>
      <c r="C21" s="138" t="s">
        <v>36</v>
      </c>
      <c r="D21" s="144">
        <f>D20/12</f>
        <v>0</v>
      </c>
      <c r="E21" s="4"/>
      <c r="F21" s="4"/>
      <c r="G21" s="4"/>
      <c r="H21" s="4"/>
    </row>
    <row r="22" spans="2:8" ht="29" hidden="1" x14ac:dyDescent="0.35">
      <c r="B22" s="140" t="s">
        <v>25</v>
      </c>
      <c r="C22" s="138" t="s">
        <v>27</v>
      </c>
      <c r="D22" s="79">
        <v>0</v>
      </c>
      <c r="E22" s="4"/>
      <c r="F22" s="4"/>
      <c r="G22" s="4"/>
      <c r="H22" s="4"/>
    </row>
    <row r="23" spans="2:8" ht="29" hidden="1" x14ac:dyDescent="0.35">
      <c r="B23" s="140" t="s">
        <v>26</v>
      </c>
      <c r="C23" s="138" t="s">
        <v>31</v>
      </c>
      <c r="D23" s="79">
        <f>D22/12</f>
        <v>0</v>
      </c>
      <c r="E23" s="4"/>
      <c r="F23" s="4"/>
      <c r="G23" s="4"/>
      <c r="H23" s="4"/>
    </row>
    <row r="24" spans="2:8" ht="43.5" x14ac:dyDescent="0.35">
      <c r="B24" s="74" t="s">
        <v>28</v>
      </c>
      <c r="C24" s="138" t="s">
        <v>29</v>
      </c>
      <c r="D24" s="81">
        <v>1369380857.72</v>
      </c>
      <c r="E24" s="4"/>
      <c r="F24" s="4"/>
      <c r="G24" s="4"/>
      <c r="H24" s="4"/>
    </row>
    <row r="25" spans="2:8" ht="29" x14ac:dyDescent="0.35">
      <c r="B25" s="140" t="s">
        <v>30</v>
      </c>
      <c r="C25" s="138" t="s">
        <v>31</v>
      </c>
      <c r="D25" s="81">
        <f>D24/12</f>
        <v>114115071.47666667</v>
      </c>
      <c r="E25" s="4"/>
      <c r="F25" s="4"/>
      <c r="G25" s="4"/>
      <c r="H25" s="4"/>
    </row>
    <row r="28" spans="2:8" ht="18" customHeight="1" x14ac:dyDescent="0.35">
      <c r="B28" s="288" t="s">
        <v>201</v>
      </c>
      <c r="C28" s="289"/>
      <c r="D28" s="289"/>
      <c r="E28" s="289"/>
      <c r="F28" s="290"/>
    </row>
    <row r="29" spans="2:8" ht="15" customHeight="1" x14ac:dyDescent="0.35">
      <c r="B29" s="291" t="s">
        <v>193</v>
      </c>
      <c r="C29" s="292"/>
      <c r="D29" s="292"/>
      <c r="E29" s="292"/>
      <c r="F29" s="293"/>
    </row>
  </sheetData>
  <mergeCells count="3">
    <mergeCell ref="B1:J3"/>
    <mergeCell ref="B28:F28"/>
    <mergeCell ref="B29:F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2F40-276D-4B82-8FC3-13BA346848D8}">
  <dimension ref="B1:L31"/>
  <sheetViews>
    <sheetView showGridLines="0" zoomScale="85" zoomScaleNormal="85" workbookViewId="0">
      <selection activeCell="E12" sqref="E12"/>
    </sheetView>
  </sheetViews>
  <sheetFormatPr defaultRowHeight="14.5" x14ac:dyDescent="0.35"/>
  <cols>
    <col min="1" max="1" width="3.81640625" customWidth="1"/>
    <col min="2" max="2" width="10.26953125" bestFit="1" customWidth="1"/>
    <col min="3" max="3" width="21.26953125" bestFit="1" customWidth="1"/>
    <col min="4" max="4" width="12" customWidth="1"/>
    <col min="5" max="5" width="71.7265625" customWidth="1"/>
    <col min="6" max="6" width="14.26953125" customWidth="1"/>
    <col min="7" max="9" width="16.81640625" style="32" bestFit="1" customWidth="1"/>
    <col min="10" max="10" width="11.81640625" customWidth="1"/>
    <col min="11" max="11" width="17.1796875" style="32" customWidth="1"/>
    <col min="12" max="12" width="11.453125" bestFit="1" customWidth="1"/>
  </cols>
  <sheetData>
    <row r="1" spans="2:11" ht="15" customHeight="1" x14ac:dyDescent="0.35">
      <c r="B1" s="294" t="s">
        <v>177</v>
      </c>
      <c r="C1" s="294"/>
      <c r="D1" s="294"/>
      <c r="E1" s="294"/>
      <c r="F1" s="294"/>
      <c r="G1" s="294"/>
      <c r="H1" s="294"/>
      <c r="I1" s="294"/>
      <c r="J1" s="294"/>
      <c r="K1" s="294"/>
    </row>
    <row r="2" spans="2:11" ht="15" customHeight="1" x14ac:dyDescent="0.35">
      <c r="B2" s="294"/>
      <c r="C2" s="294"/>
      <c r="D2" s="294"/>
      <c r="E2" s="294"/>
      <c r="F2" s="294"/>
      <c r="G2" s="294"/>
      <c r="H2" s="294"/>
      <c r="I2" s="294"/>
      <c r="J2" s="294"/>
      <c r="K2" s="294"/>
    </row>
    <row r="3" spans="2:11" ht="15" customHeight="1" x14ac:dyDescent="0.35">
      <c r="B3" s="294"/>
      <c r="C3" s="294"/>
      <c r="D3" s="294"/>
      <c r="E3" s="294"/>
      <c r="F3" s="294"/>
      <c r="G3" s="294"/>
      <c r="H3" s="294"/>
      <c r="I3" s="294"/>
      <c r="J3" s="294"/>
      <c r="K3" s="294"/>
    </row>
    <row r="5" spans="2:11" s="4" customFormat="1" ht="43.5" x14ac:dyDescent="0.35">
      <c r="B5" s="74" t="s">
        <v>117</v>
      </c>
      <c r="C5" s="74" t="s">
        <v>51</v>
      </c>
      <c r="D5" s="74" t="s">
        <v>58</v>
      </c>
      <c r="E5" s="74" t="s">
        <v>32</v>
      </c>
      <c r="F5" s="74" t="s">
        <v>52</v>
      </c>
      <c r="G5" s="74" t="s">
        <v>54</v>
      </c>
      <c r="H5" s="74" t="s">
        <v>55</v>
      </c>
      <c r="I5" s="75" t="s">
        <v>53</v>
      </c>
      <c r="J5" s="74" t="s">
        <v>128</v>
      </c>
      <c r="K5" s="75" t="s">
        <v>56</v>
      </c>
    </row>
    <row r="6" spans="2:11" x14ac:dyDescent="0.35">
      <c r="B6" s="99">
        <v>45658</v>
      </c>
      <c r="C6" s="79" t="s">
        <v>287</v>
      </c>
      <c r="D6" s="79">
        <v>1</v>
      </c>
      <c r="E6" s="79" t="s">
        <v>291</v>
      </c>
      <c r="F6" s="132">
        <v>45716</v>
      </c>
      <c r="G6" s="151">
        <v>1084839.0862460099</v>
      </c>
      <c r="H6" s="151">
        <v>1875123.2236342172</v>
      </c>
      <c r="I6" s="152">
        <f t="shared" ref="I6" si="0">H6-G6</f>
        <v>790284.13738820725</v>
      </c>
      <c r="J6" s="79">
        <v>1</v>
      </c>
      <c r="K6" s="152">
        <f>I6*J6</f>
        <v>790284.13738820725</v>
      </c>
    </row>
    <row r="7" spans="2:11" x14ac:dyDescent="0.35">
      <c r="B7" s="99">
        <v>45597</v>
      </c>
      <c r="C7" s="79" t="s">
        <v>287</v>
      </c>
      <c r="D7" s="79">
        <v>1</v>
      </c>
      <c r="E7" s="79" t="s">
        <v>291</v>
      </c>
      <c r="F7" s="132">
        <v>45716</v>
      </c>
      <c r="G7" s="151">
        <v>562136.65932550491</v>
      </c>
      <c r="H7" s="151">
        <v>644613.25119319768</v>
      </c>
      <c r="I7" s="152">
        <f>H7-G7</f>
        <v>82476.591867692769</v>
      </c>
      <c r="J7" s="79">
        <v>1.0068083000000001</v>
      </c>
      <c r="K7" s="152">
        <f t="shared" ref="K7:K23" si="1">I7*J7</f>
        <v>83038.117248105584</v>
      </c>
    </row>
    <row r="8" spans="2:11" x14ac:dyDescent="0.35">
      <c r="B8" s="99">
        <v>45809</v>
      </c>
      <c r="C8" s="79" t="s">
        <v>374</v>
      </c>
      <c r="D8" s="79">
        <v>1</v>
      </c>
      <c r="E8" s="79" t="s">
        <v>375</v>
      </c>
      <c r="F8" s="132">
        <v>45853</v>
      </c>
      <c r="G8" s="151">
        <v>85010160.790000007</v>
      </c>
      <c r="H8" s="151">
        <v>85010160.790000007</v>
      </c>
      <c r="I8" s="152">
        <f t="shared" ref="I8:I15" si="2">H8-G8</f>
        <v>0</v>
      </c>
      <c r="J8" s="79">
        <v>1</v>
      </c>
      <c r="K8" s="152">
        <f t="shared" si="1"/>
        <v>0</v>
      </c>
    </row>
    <row r="9" spans="2:11" x14ac:dyDescent="0.35">
      <c r="B9" s="99"/>
      <c r="C9" s="79"/>
      <c r="D9" s="79"/>
      <c r="E9" s="79"/>
      <c r="F9" s="132"/>
      <c r="G9" s="151"/>
      <c r="H9" s="190"/>
      <c r="I9" s="152">
        <f t="shared" si="2"/>
        <v>0</v>
      </c>
      <c r="J9" s="79"/>
      <c r="K9" s="152">
        <f t="shared" si="1"/>
        <v>0</v>
      </c>
    </row>
    <row r="10" spans="2:11" x14ac:dyDescent="0.35">
      <c r="B10" s="99"/>
      <c r="C10" s="79"/>
      <c r="D10" s="79"/>
      <c r="E10" s="79"/>
      <c r="F10" s="132"/>
      <c r="G10" s="151"/>
      <c r="H10" s="190"/>
      <c r="I10" s="153">
        <f t="shared" si="2"/>
        <v>0</v>
      </c>
      <c r="J10" s="79"/>
      <c r="K10" s="152">
        <f t="shared" si="1"/>
        <v>0</v>
      </c>
    </row>
    <row r="11" spans="2:11" x14ac:dyDescent="0.35">
      <c r="B11" s="99"/>
      <c r="C11" s="79"/>
      <c r="D11" s="79"/>
      <c r="E11" s="79"/>
      <c r="F11" s="132"/>
      <c r="G11" s="151"/>
      <c r="H11" s="151"/>
      <c r="I11" s="153">
        <f t="shared" si="2"/>
        <v>0</v>
      </c>
      <c r="J11" s="79"/>
      <c r="K11" s="152">
        <f t="shared" si="1"/>
        <v>0</v>
      </c>
    </row>
    <row r="12" spans="2:11" x14ac:dyDescent="0.35">
      <c r="B12" s="99"/>
      <c r="C12" s="79"/>
      <c r="D12" s="79"/>
      <c r="E12" s="79"/>
      <c r="F12" s="132"/>
      <c r="G12" s="151"/>
      <c r="H12" s="151"/>
      <c r="I12" s="153">
        <f t="shared" si="2"/>
        <v>0</v>
      </c>
      <c r="J12" s="79"/>
      <c r="K12" s="152">
        <f t="shared" si="1"/>
        <v>0</v>
      </c>
    </row>
    <row r="13" spans="2:11" x14ac:dyDescent="0.35">
      <c r="B13" s="99"/>
      <c r="C13" s="79"/>
      <c r="D13" s="79"/>
      <c r="E13" s="79"/>
      <c r="F13" s="132"/>
      <c r="G13" s="151"/>
      <c r="H13" s="151"/>
      <c r="I13" s="153">
        <f t="shared" si="2"/>
        <v>0</v>
      </c>
      <c r="J13" s="79"/>
      <c r="K13" s="152">
        <f t="shared" si="1"/>
        <v>0</v>
      </c>
    </row>
    <row r="14" spans="2:11" x14ac:dyDescent="0.35">
      <c r="B14" s="99"/>
      <c r="C14" s="79"/>
      <c r="D14" s="79"/>
      <c r="E14" s="79"/>
      <c r="F14" s="132"/>
      <c r="G14" s="151"/>
      <c r="H14" s="151"/>
      <c r="I14" s="153">
        <f t="shared" si="2"/>
        <v>0</v>
      </c>
      <c r="J14" s="79"/>
      <c r="K14" s="152">
        <f t="shared" si="1"/>
        <v>0</v>
      </c>
    </row>
    <row r="15" spans="2:11" x14ac:dyDescent="0.35">
      <c r="B15" s="99"/>
      <c r="C15" s="79"/>
      <c r="D15" s="79"/>
      <c r="E15" s="79"/>
      <c r="F15" s="132"/>
      <c r="G15" s="151"/>
      <c r="H15" s="151"/>
      <c r="I15" s="153">
        <f t="shared" si="2"/>
        <v>0</v>
      </c>
      <c r="J15" s="79"/>
      <c r="K15" s="152">
        <f t="shared" si="1"/>
        <v>0</v>
      </c>
    </row>
    <row r="16" spans="2:11" x14ac:dyDescent="0.35">
      <c r="B16" s="99"/>
      <c r="C16" s="79"/>
      <c r="D16" s="79"/>
      <c r="E16" s="79"/>
      <c r="F16" s="132"/>
      <c r="G16" s="151"/>
      <c r="H16" s="151"/>
      <c r="I16" s="153">
        <f>H16-G16</f>
        <v>0</v>
      </c>
      <c r="J16" s="79"/>
      <c r="K16" s="152">
        <f t="shared" si="1"/>
        <v>0</v>
      </c>
    </row>
    <row r="17" spans="2:12" x14ac:dyDescent="0.35">
      <c r="B17" s="99"/>
      <c r="C17" s="79"/>
      <c r="D17" s="79"/>
      <c r="E17" s="79"/>
      <c r="F17" s="132"/>
      <c r="G17" s="151"/>
      <c r="H17" s="151"/>
      <c r="I17" s="153">
        <f>H17-G17</f>
        <v>0</v>
      </c>
      <c r="J17" s="79"/>
      <c r="K17" s="152">
        <f t="shared" si="1"/>
        <v>0</v>
      </c>
    </row>
    <row r="18" spans="2:12" x14ac:dyDescent="0.35">
      <c r="B18" s="99"/>
      <c r="C18" s="79"/>
      <c r="D18" s="79"/>
      <c r="E18" s="79"/>
      <c r="F18" s="132"/>
      <c r="G18" s="151"/>
      <c r="H18" s="151"/>
      <c r="I18" s="153">
        <f>H18-G18</f>
        <v>0</v>
      </c>
      <c r="J18" s="79"/>
      <c r="K18" s="152">
        <f t="shared" si="1"/>
        <v>0</v>
      </c>
    </row>
    <row r="19" spans="2:12" x14ac:dyDescent="0.35">
      <c r="B19" s="99"/>
      <c r="C19" s="79"/>
      <c r="D19" s="79"/>
      <c r="E19" s="79"/>
      <c r="F19" s="132"/>
      <c r="G19" s="151"/>
      <c r="H19" s="151"/>
      <c r="I19" s="152">
        <f t="shared" ref="I19:I23" si="3">H19-G19</f>
        <v>0</v>
      </c>
      <c r="J19" s="79"/>
      <c r="K19" s="152">
        <f t="shared" si="1"/>
        <v>0</v>
      </c>
    </row>
    <row r="20" spans="2:12" x14ac:dyDescent="0.35">
      <c r="B20" s="99"/>
      <c r="C20" s="79"/>
      <c r="D20" s="79"/>
      <c r="E20" s="79"/>
      <c r="F20" s="132"/>
      <c r="G20" s="151"/>
      <c r="H20" s="151"/>
      <c r="I20" s="152">
        <f t="shared" si="3"/>
        <v>0</v>
      </c>
      <c r="J20" s="79"/>
      <c r="K20" s="152">
        <f t="shared" si="1"/>
        <v>0</v>
      </c>
    </row>
    <row r="21" spans="2:12" x14ac:dyDescent="0.35">
      <c r="B21" s="99"/>
      <c r="C21" s="79"/>
      <c r="D21" s="79"/>
      <c r="E21" s="79"/>
      <c r="F21" s="132"/>
      <c r="G21" s="151"/>
      <c r="H21" s="151"/>
      <c r="I21" s="152">
        <f t="shared" si="3"/>
        <v>0</v>
      </c>
      <c r="J21" s="79"/>
      <c r="K21" s="152">
        <f t="shared" si="1"/>
        <v>0</v>
      </c>
    </row>
    <row r="22" spans="2:12" x14ac:dyDescent="0.35">
      <c r="B22" s="99"/>
      <c r="C22" s="79"/>
      <c r="D22" s="79"/>
      <c r="E22" s="79"/>
      <c r="F22" s="132"/>
      <c r="G22" s="151"/>
      <c r="H22" s="151"/>
      <c r="I22" s="152">
        <f t="shared" si="3"/>
        <v>0</v>
      </c>
      <c r="J22" s="79"/>
      <c r="K22" s="152">
        <f t="shared" si="1"/>
        <v>0</v>
      </c>
    </row>
    <row r="23" spans="2:12" x14ac:dyDescent="0.35">
      <c r="B23" s="99"/>
      <c r="C23" s="79"/>
      <c r="D23" s="79"/>
      <c r="E23" s="79"/>
      <c r="F23" s="132"/>
      <c r="G23" s="151"/>
      <c r="H23" s="151"/>
      <c r="I23" s="152">
        <f t="shared" si="3"/>
        <v>0</v>
      </c>
      <c r="J23" s="79"/>
      <c r="K23" s="152">
        <f t="shared" si="1"/>
        <v>0</v>
      </c>
    </row>
    <row r="24" spans="2:12" x14ac:dyDescent="0.35">
      <c r="L24" s="32"/>
    </row>
    <row r="31" spans="2:12" x14ac:dyDescent="0.35">
      <c r="B31" s="58"/>
    </row>
  </sheetData>
  <mergeCells count="1">
    <mergeCell ref="B1:K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79998168889431442"/>
  </sheetPr>
  <dimension ref="B1:L66"/>
  <sheetViews>
    <sheetView showGridLines="0" workbookViewId="0">
      <pane ySplit="5" topLeftCell="A55" activePane="bottomLeft" state="frozen"/>
      <selection pane="bottomLeft" activeCell="G64" sqref="G64"/>
    </sheetView>
  </sheetViews>
  <sheetFormatPr defaultRowHeight="14.5" x14ac:dyDescent="0.35"/>
  <cols>
    <col min="2" max="2" width="16.1796875" customWidth="1"/>
    <col min="3" max="3" width="21.7265625" bestFit="1" customWidth="1"/>
    <col min="4" max="4" width="13.54296875" customWidth="1"/>
    <col min="5" max="5" width="13.54296875" style="23" customWidth="1"/>
    <col min="6" max="6" width="19.7265625" style="23" customWidth="1"/>
    <col min="7" max="7" width="18.6328125" style="23" customWidth="1"/>
    <col min="8" max="8" width="12.7265625" style="22" customWidth="1"/>
    <col min="9" max="9" width="12.81640625" style="22" customWidth="1"/>
    <col min="10" max="10" width="19.54296875" customWidth="1"/>
  </cols>
  <sheetData>
    <row r="1" spans="2:12" ht="15" customHeight="1" x14ac:dyDescent="0.35">
      <c r="B1" s="260" t="s">
        <v>189</v>
      </c>
      <c r="C1" s="260"/>
      <c r="D1" s="260"/>
      <c r="E1" s="260"/>
      <c r="F1" s="260"/>
      <c r="G1" s="260"/>
      <c r="H1" s="260"/>
      <c r="I1" s="260"/>
    </row>
    <row r="2" spans="2:12" x14ac:dyDescent="0.35">
      <c r="B2" s="260"/>
      <c r="C2" s="260"/>
      <c r="D2" s="260"/>
      <c r="E2" s="260"/>
      <c r="F2" s="260"/>
      <c r="G2" s="260"/>
      <c r="H2" s="260"/>
      <c r="I2" s="260"/>
    </row>
    <row r="3" spans="2:12" x14ac:dyDescent="0.35">
      <c r="B3" s="260"/>
      <c r="C3" s="260"/>
      <c r="D3" s="260"/>
      <c r="E3" s="260"/>
      <c r="F3" s="260"/>
      <c r="G3" s="260"/>
      <c r="H3" s="260"/>
      <c r="I3" s="260"/>
    </row>
    <row r="4" spans="2:12" ht="13.5" customHeight="1" x14ac:dyDescent="0.35"/>
    <row r="5" spans="2:12" s="6" customFormat="1" ht="32.25" customHeight="1" x14ac:dyDescent="0.35">
      <c r="B5" s="74" t="s">
        <v>77</v>
      </c>
      <c r="C5" s="74" t="s">
        <v>229</v>
      </c>
      <c r="D5" s="74" t="s">
        <v>81</v>
      </c>
      <c r="E5" s="74" t="s">
        <v>86</v>
      </c>
      <c r="F5" s="74" t="s">
        <v>87</v>
      </c>
      <c r="G5" s="74" t="s">
        <v>88</v>
      </c>
      <c r="H5" s="74" t="s">
        <v>211</v>
      </c>
      <c r="I5" s="74" t="s">
        <v>212</v>
      </c>
    </row>
    <row r="6" spans="2:12" x14ac:dyDescent="0.35">
      <c r="B6" s="160">
        <v>45658</v>
      </c>
      <c r="C6" s="160" t="s">
        <v>230</v>
      </c>
      <c r="D6" s="161" t="s">
        <v>82</v>
      </c>
      <c r="E6" s="162">
        <v>0</v>
      </c>
      <c r="F6" s="162">
        <v>0</v>
      </c>
      <c r="G6" s="162"/>
      <c r="H6" s="162"/>
      <c r="I6" s="159"/>
    </row>
    <row r="7" spans="2:12" x14ac:dyDescent="0.35">
      <c r="B7" s="163"/>
      <c r="C7" s="163" t="s">
        <v>230</v>
      </c>
      <c r="D7" s="164" t="s">
        <v>83</v>
      </c>
      <c r="E7" s="164">
        <v>32655.700000000004</v>
      </c>
      <c r="F7" s="184">
        <v>209.34500000000003</v>
      </c>
      <c r="G7" s="164"/>
      <c r="H7" s="164"/>
      <c r="I7" s="79"/>
    </row>
    <row r="8" spans="2:12" x14ac:dyDescent="0.35">
      <c r="B8" s="163"/>
      <c r="C8" s="163" t="s">
        <v>231</v>
      </c>
      <c r="D8" s="164" t="s">
        <v>84</v>
      </c>
      <c r="E8" s="164">
        <v>58578.9</v>
      </c>
      <c r="F8" s="184">
        <v>160.51300000000001</v>
      </c>
      <c r="G8" s="164"/>
      <c r="H8" s="164"/>
      <c r="I8" s="79"/>
    </row>
    <row r="9" spans="2:12" x14ac:dyDescent="0.35">
      <c r="B9" s="99"/>
      <c r="C9" s="99" t="s">
        <v>232</v>
      </c>
      <c r="D9" s="79" t="s">
        <v>85</v>
      </c>
      <c r="E9" s="79">
        <v>75005.600000000006</v>
      </c>
      <c r="F9" s="184">
        <v>85.593000000000004</v>
      </c>
      <c r="G9" s="79"/>
      <c r="H9" s="79"/>
      <c r="I9" s="159"/>
    </row>
    <row r="10" spans="2:12" ht="15" thickBot="1" x14ac:dyDescent="0.4">
      <c r="B10" s="165">
        <v>45688</v>
      </c>
      <c r="C10" s="165"/>
      <c r="D10" s="166" t="s">
        <v>89</v>
      </c>
      <c r="E10" s="166">
        <f>SUM(E6:E9)</f>
        <v>166240.20000000001</v>
      </c>
      <c r="F10" s="166">
        <f t="shared" ref="F10:I10" si="0">SUM(F6:F9)</f>
        <v>455.45100000000008</v>
      </c>
      <c r="G10" s="166">
        <f t="shared" si="0"/>
        <v>0</v>
      </c>
      <c r="H10" s="166">
        <f t="shared" si="0"/>
        <v>0</v>
      </c>
      <c r="I10" s="166">
        <f t="shared" si="0"/>
        <v>0</v>
      </c>
    </row>
    <row r="11" spans="2:12" ht="15" thickTop="1" x14ac:dyDescent="0.35">
      <c r="B11" s="160">
        <v>45689</v>
      </c>
      <c r="C11" s="160" t="s">
        <v>230</v>
      </c>
      <c r="D11" s="161" t="s">
        <v>82</v>
      </c>
      <c r="E11" s="162"/>
      <c r="F11" s="162"/>
      <c r="G11" s="162"/>
      <c r="H11" s="162"/>
      <c r="I11" s="159"/>
      <c r="J11" s="23"/>
      <c r="K11" s="23"/>
    </row>
    <row r="12" spans="2:12" x14ac:dyDescent="0.35">
      <c r="B12" s="163"/>
      <c r="C12" s="163" t="s">
        <v>230</v>
      </c>
      <c r="D12" s="164" t="s">
        <v>83</v>
      </c>
      <c r="E12" s="164">
        <v>81957.5</v>
      </c>
      <c r="F12" s="189">
        <v>123.59699999999999</v>
      </c>
      <c r="G12" s="164"/>
      <c r="H12" s="164"/>
      <c r="I12" s="79"/>
      <c r="L12" s="9"/>
    </row>
    <row r="13" spans="2:12" x14ac:dyDescent="0.35">
      <c r="B13" s="163"/>
      <c r="C13" s="163" t="s">
        <v>231</v>
      </c>
      <c r="D13" s="164" t="s">
        <v>84</v>
      </c>
      <c r="E13" s="164">
        <v>76105.600000000006</v>
      </c>
      <c r="F13" s="164">
        <v>66.094999999999999</v>
      </c>
      <c r="G13" s="164"/>
      <c r="H13" s="164"/>
      <c r="I13" s="79"/>
    </row>
    <row r="14" spans="2:12" x14ac:dyDescent="0.35">
      <c r="B14" s="99"/>
      <c r="C14" s="99" t="s">
        <v>232</v>
      </c>
      <c r="D14" s="79" t="s">
        <v>85</v>
      </c>
      <c r="E14" s="79">
        <v>129049.60000000001</v>
      </c>
      <c r="F14" s="79">
        <v>0.70199999999999996</v>
      </c>
      <c r="G14" s="79"/>
      <c r="H14" s="79"/>
      <c r="I14" s="159"/>
    </row>
    <row r="15" spans="2:12" ht="15" thickBot="1" x14ac:dyDescent="0.4">
      <c r="B15" s="165">
        <v>45716</v>
      </c>
      <c r="C15" s="165"/>
      <c r="D15" s="166" t="s">
        <v>89</v>
      </c>
      <c r="E15" s="166">
        <f>SUM(E11:E14)</f>
        <v>287112.7</v>
      </c>
      <c r="F15" s="166">
        <f>SUM(F11:F14)</f>
        <v>190.39400000000001</v>
      </c>
      <c r="G15" s="166">
        <f>SUM(G11:G14)</f>
        <v>0</v>
      </c>
      <c r="H15" s="166">
        <f>SUM(H11:H14)</f>
        <v>0</v>
      </c>
      <c r="I15" s="166">
        <f>SUM(I11:I14)</f>
        <v>0</v>
      </c>
    </row>
    <row r="16" spans="2:12" ht="15" thickTop="1" x14ac:dyDescent="0.35">
      <c r="B16" s="160">
        <v>45717</v>
      </c>
      <c r="C16" s="160" t="s">
        <v>230</v>
      </c>
      <c r="D16" s="161" t="s">
        <v>82</v>
      </c>
      <c r="E16" s="162"/>
      <c r="F16" s="162"/>
      <c r="G16" s="162"/>
      <c r="H16" s="162"/>
      <c r="I16" s="159"/>
      <c r="J16" s="23"/>
      <c r="K16" s="23"/>
      <c r="L16" s="23"/>
    </row>
    <row r="17" spans="2:11" x14ac:dyDescent="0.35">
      <c r="B17" s="163"/>
      <c r="C17" s="163" t="s">
        <v>230</v>
      </c>
      <c r="D17" s="164" t="s">
        <v>83</v>
      </c>
      <c r="E17" s="164">
        <v>75836</v>
      </c>
      <c r="F17" s="164">
        <v>355.17599999999999</v>
      </c>
      <c r="G17" s="164"/>
      <c r="H17" s="79"/>
      <c r="I17" s="159"/>
      <c r="J17" s="23"/>
      <c r="K17" s="23"/>
    </row>
    <row r="18" spans="2:11" x14ac:dyDescent="0.35">
      <c r="B18" s="163"/>
      <c r="C18" s="163" t="s">
        <v>231</v>
      </c>
      <c r="D18" s="164" t="s">
        <v>84</v>
      </c>
      <c r="E18" s="164">
        <v>53825.8</v>
      </c>
      <c r="F18" s="164">
        <v>25.844000000000001</v>
      </c>
      <c r="G18" s="164"/>
      <c r="H18" s="164"/>
      <c r="I18" s="79"/>
    </row>
    <row r="19" spans="2:11" x14ac:dyDescent="0.35">
      <c r="B19" s="99"/>
      <c r="C19" s="99" t="s">
        <v>232</v>
      </c>
      <c r="D19" s="79" t="s">
        <v>85</v>
      </c>
      <c r="E19" s="79">
        <v>29343.1</v>
      </c>
      <c r="F19" s="79">
        <v>55.28</v>
      </c>
      <c r="G19" s="79"/>
      <c r="H19" s="79"/>
      <c r="I19" s="79"/>
    </row>
    <row r="20" spans="2:11" ht="15" thickBot="1" x14ac:dyDescent="0.4">
      <c r="B20" s="165">
        <v>45747</v>
      </c>
      <c r="C20" s="165"/>
      <c r="D20" s="166" t="s">
        <v>89</v>
      </c>
      <c r="E20" s="166">
        <f>SUM(E16:E19)</f>
        <v>159004.9</v>
      </c>
      <c r="F20" s="173">
        <f>SUM(F16:F19)</f>
        <v>436.29999999999995</v>
      </c>
      <c r="G20" s="166">
        <f>SUM(G16:G19)</f>
        <v>0</v>
      </c>
      <c r="H20" s="166">
        <f>SUM(H16:H19)</f>
        <v>0</v>
      </c>
      <c r="I20" s="166">
        <f t="shared" ref="I20" si="1">SUM(I16:I19)</f>
        <v>0</v>
      </c>
    </row>
    <row r="21" spans="2:11" ht="15" thickTop="1" x14ac:dyDescent="0.35">
      <c r="B21" s="200" t="s">
        <v>262</v>
      </c>
      <c r="C21" s="160" t="s">
        <v>230</v>
      </c>
      <c r="D21" s="161" t="s">
        <v>82</v>
      </c>
      <c r="E21" s="162">
        <v>0</v>
      </c>
      <c r="F21" s="164">
        <v>0</v>
      </c>
      <c r="G21" s="162"/>
      <c r="H21" s="162"/>
      <c r="I21" s="159"/>
      <c r="J21" s="23"/>
      <c r="K21" s="23"/>
    </row>
    <row r="22" spans="2:11" x14ac:dyDescent="0.35">
      <c r="B22" s="163"/>
      <c r="C22" s="163" t="s">
        <v>230</v>
      </c>
      <c r="D22" s="164" t="s">
        <v>83</v>
      </c>
      <c r="E22" s="162">
        <v>12335</v>
      </c>
      <c r="F22" s="164">
        <v>37.186</v>
      </c>
      <c r="G22" s="164"/>
      <c r="H22" s="164"/>
      <c r="I22" s="79"/>
    </row>
    <row r="23" spans="2:11" x14ac:dyDescent="0.35">
      <c r="B23" s="163"/>
      <c r="C23" s="163" t="s">
        <v>231</v>
      </c>
      <c r="D23" s="164" t="s">
        <v>84</v>
      </c>
      <c r="E23" s="162">
        <v>26535.9</v>
      </c>
      <c r="F23" s="79">
        <v>80.058999999999997</v>
      </c>
      <c r="G23" s="164"/>
      <c r="H23" s="164"/>
      <c r="I23" s="79"/>
    </row>
    <row r="24" spans="2:11" x14ac:dyDescent="0.35">
      <c r="B24" s="99"/>
      <c r="C24" s="99" t="s">
        <v>232</v>
      </c>
      <c r="D24" s="79" t="s">
        <v>85</v>
      </c>
      <c r="E24" s="142">
        <v>116440.4</v>
      </c>
      <c r="F24" s="79">
        <v>46.890999999999998</v>
      </c>
      <c r="G24" s="79"/>
      <c r="H24" s="79"/>
      <c r="I24" s="79"/>
    </row>
    <row r="25" spans="2:11" ht="15" thickBot="1" x14ac:dyDescent="0.4">
      <c r="B25" s="165">
        <v>45748</v>
      </c>
      <c r="C25" s="165"/>
      <c r="D25" s="166" t="s">
        <v>89</v>
      </c>
      <c r="E25" s="166">
        <f>SUM(E21:E24)</f>
        <v>155311.29999999999</v>
      </c>
      <c r="F25" s="166">
        <f>SUM(F21:F24)</f>
        <v>164.136</v>
      </c>
      <c r="G25" s="166">
        <f>SUM(G21:G24)</f>
        <v>0</v>
      </c>
      <c r="H25" s="166">
        <f>SUM(H21:H24)</f>
        <v>0</v>
      </c>
      <c r="I25" s="166">
        <f>SUM(I21:I24)</f>
        <v>0</v>
      </c>
    </row>
    <row r="26" spans="2:11" ht="15" thickTop="1" x14ac:dyDescent="0.35">
      <c r="B26" s="160">
        <v>45778</v>
      </c>
      <c r="C26" s="160" t="s">
        <v>230</v>
      </c>
      <c r="D26" s="161" t="s">
        <v>82</v>
      </c>
      <c r="E26" s="161"/>
      <c r="F26" s="162"/>
      <c r="G26" s="162"/>
      <c r="H26" s="162"/>
      <c r="I26" s="159"/>
    </row>
    <row r="27" spans="2:11" x14ac:dyDescent="0.35">
      <c r="B27" s="163"/>
      <c r="C27" s="163" t="s">
        <v>230</v>
      </c>
      <c r="D27" s="164" t="s">
        <v>83</v>
      </c>
      <c r="E27" s="164">
        <v>25496.2</v>
      </c>
      <c r="F27" s="164">
        <v>207.29900000000001</v>
      </c>
      <c r="G27" s="164"/>
      <c r="H27" s="164"/>
      <c r="I27" s="79"/>
    </row>
    <row r="28" spans="2:11" x14ac:dyDescent="0.35">
      <c r="B28" s="163"/>
      <c r="C28" s="163" t="s">
        <v>231</v>
      </c>
      <c r="D28" s="164" t="s">
        <v>84</v>
      </c>
      <c r="E28" s="196">
        <v>38651.4</v>
      </c>
      <c r="F28" s="162">
        <v>489.27800000000002</v>
      </c>
      <c r="G28" s="164"/>
      <c r="H28" s="164"/>
      <c r="I28" s="79"/>
    </row>
    <row r="29" spans="2:11" x14ac:dyDescent="0.35">
      <c r="B29" s="99"/>
      <c r="C29" s="99" t="s">
        <v>232</v>
      </c>
      <c r="D29" s="79" t="s">
        <v>85</v>
      </c>
      <c r="E29" s="142">
        <v>100642.9</v>
      </c>
      <c r="F29" s="162">
        <v>91.131</v>
      </c>
      <c r="G29" s="79"/>
      <c r="H29" s="79"/>
      <c r="I29" s="159"/>
    </row>
    <row r="30" spans="2:11" ht="15" thickBot="1" x14ac:dyDescent="0.4">
      <c r="B30" s="165">
        <v>45808</v>
      </c>
      <c r="C30" s="165"/>
      <c r="D30" s="166" t="s">
        <v>89</v>
      </c>
      <c r="E30" s="175">
        <f>SUM(E26:E29)</f>
        <v>164790.5</v>
      </c>
      <c r="F30" s="166">
        <f>SUM(F26:F29)</f>
        <v>787.70799999999997</v>
      </c>
      <c r="G30" s="166">
        <f>SUM(G26:G29)</f>
        <v>0</v>
      </c>
      <c r="H30" s="166">
        <f>SUM(H26:H29)</f>
        <v>0</v>
      </c>
      <c r="I30" s="166">
        <f>SUM(I26:I29)</f>
        <v>0</v>
      </c>
    </row>
    <row r="31" spans="2:11" ht="15" thickTop="1" x14ac:dyDescent="0.35">
      <c r="B31" s="160"/>
      <c r="C31" s="160" t="s">
        <v>230</v>
      </c>
      <c r="D31" s="161" t="s">
        <v>82</v>
      </c>
      <c r="E31" s="162"/>
      <c r="F31" s="162"/>
      <c r="G31" s="162"/>
      <c r="H31" s="162"/>
      <c r="I31" s="159"/>
      <c r="J31" s="23"/>
      <c r="K31" s="23"/>
    </row>
    <row r="32" spans="2:11" x14ac:dyDescent="0.35">
      <c r="B32" s="163"/>
      <c r="C32" s="163" t="s">
        <v>230</v>
      </c>
      <c r="D32" s="164" t="s">
        <v>83</v>
      </c>
      <c r="E32" s="162">
        <v>75461.3</v>
      </c>
      <c r="F32" s="164">
        <v>183.15899999999999</v>
      </c>
      <c r="G32" s="164"/>
      <c r="H32" s="164"/>
      <c r="I32" s="79"/>
      <c r="J32" s="23"/>
      <c r="K32" s="23"/>
    </row>
    <row r="33" spans="2:12" x14ac:dyDescent="0.35">
      <c r="B33" s="163"/>
      <c r="C33" s="163" t="s">
        <v>231</v>
      </c>
      <c r="D33" s="164" t="s">
        <v>84</v>
      </c>
      <c r="E33" s="164">
        <v>87573.5</v>
      </c>
      <c r="F33" s="162">
        <v>337.25200000000001</v>
      </c>
      <c r="G33" s="164"/>
      <c r="H33" s="164"/>
      <c r="I33" s="79"/>
    </row>
    <row r="34" spans="2:12" x14ac:dyDescent="0.35">
      <c r="B34" s="99"/>
      <c r="C34" s="99" t="s">
        <v>232</v>
      </c>
      <c r="D34" s="79" t="s">
        <v>85</v>
      </c>
      <c r="E34" s="164">
        <v>124976.2</v>
      </c>
      <c r="F34" s="162">
        <v>38.377000000000002</v>
      </c>
      <c r="G34" s="79"/>
      <c r="H34" s="79"/>
      <c r="I34" s="159"/>
    </row>
    <row r="35" spans="2:12" ht="15" thickBot="1" x14ac:dyDescent="0.4">
      <c r="B35" s="199">
        <v>45809</v>
      </c>
      <c r="C35" s="165"/>
      <c r="D35" s="166" t="s">
        <v>89</v>
      </c>
      <c r="E35" s="219">
        <f>SUM(E31:E34)</f>
        <v>288011</v>
      </c>
      <c r="F35" s="166">
        <f>SUM(F31:F34)</f>
        <v>558.78800000000001</v>
      </c>
      <c r="G35" s="166">
        <f>SUM(G31:G34)</f>
        <v>0</v>
      </c>
      <c r="H35" s="166">
        <f>SUM(H31:H34)</f>
        <v>0</v>
      </c>
      <c r="I35" s="166">
        <f>SUM(I31:I34)</f>
        <v>0</v>
      </c>
    </row>
    <row r="36" spans="2:12" x14ac:dyDescent="0.35">
      <c r="B36" s="198">
        <v>45839</v>
      </c>
      <c r="C36" s="160" t="s">
        <v>230</v>
      </c>
      <c r="D36" s="161" t="s">
        <v>82</v>
      </c>
      <c r="E36" s="162"/>
      <c r="F36" s="162"/>
      <c r="G36" s="162"/>
      <c r="H36" s="162"/>
      <c r="I36" s="159"/>
      <c r="J36" s="23"/>
      <c r="K36" s="23"/>
    </row>
    <row r="37" spans="2:12" x14ac:dyDescent="0.35">
      <c r="B37" s="163"/>
      <c r="C37" s="163" t="s">
        <v>230</v>
      </c>
      <c r="D37" s="164" t="s">
        <v>83</v>
      </c>
      <c r="E37" s="164">
        <v>87749.6</v>
      </c>
      <c r="F37" s="164">
        <v>206.584</v>
      </c>
      <c r="G37" s="164"/>
      <c r="H37" s="164"/>
      <c r="I37" s="79"/>
    </row>
    <row r="38" spans="2:12" x14ac:dyDescent="0.35">
      <c r="B38" s="163"/>
      <c r="C38" s="163" t="s">
        <v>231</v>
      </c>
      <c r="D38" s="164" t="s">
        <v>84</v>
      </c>
      <c r="E38" s="164">
        <v>115163.38</v>
      </c>
      <c r="F38" s="164">
        <v>33.813000000000002</v>
      </c>
      <c r="G38" s="164"/>
      <c r="H38" s="164"/>
      <c r="I38" s="79"/>
      <c r="J38" s="23"/>
    </row>
    <row r="39" spans="2:12" x14ac:dyDescent="0.35">
      <c r="B39" s="99"/>
      <c r="C39" s="99" t="s">
        <v>232</v>
      </c>
      <c r="D39" s="79" t="s">
        <v>85</v>
      </c>
      <c r="E39" s="79">
        <v>127284.5</v>
      </c>
      <c r="F39" s="79">
        <v>78.924999999999997</v>
      </c>
      <c r="G39" s="79"/>
      <c r="H39" s="79"/>
      <c r="I39" s="159"/>
      <c r="J39" s="23"/>
    </row>
    <row r="40" spans="2:12" ht="15" thickBot="1" x14ac:dyDescent="0.4">
      <c r="B40" s="165">
        <v>45869</v>
      </c>
      <c r="C40" s="165"/>
      <c r="D40" s="166" t="s">
        <v>89</v>
      </c>
      <c r="E40" s="166">
        <f>SUM(E36:E39)</f>
        <v>330197.48</v>
      </c>
      <c r="F40" s="166">
        <f>SUM(F36:F39)</f>
        <v>319.322</v>
      </c>
      <c r="G40" s="166">
        <f>SUM(G36:G39)</f>
        <v>0</v>
      </c>
      <c r="H40" s="166">
        <f>SUM(H36:H39)</f>
        <v>0</v>
      </c>
      <c r="I40" s="166">
        <f>SUM(I36:I39)</f>
        <v>0</v>
      </c>
    </row>
    <row r="41" spans="2:12" ht="15" thickTop="1" x14ac:dyDescent="0.35">
      <c r="B41" s="160">
        <v>45870</v>
      </c>
      <c r="C41" s="160" t="s">
        <v>230</v>
      </c>
      <c r="D41" s="161" t="s">
        <v>82</v>
      </c>
      <c r="E41" s="162">
        <v>0</v>
      </c>
      <c r="F41" s="202">
        <v>0</v>
      </c>
      <c r="G41" s="162"/>
      <c r="H41" s="162"/>
      <c r="I41" s="159"/>
      <c r="J41" s="23"/>
      <c r="K41" s="23"/>
    </row>
    <row r="42" spans="2:12" x14ac:dyDescent="0.35">
      <c r="B42" s="163"/>
      <c r="C42" s="163" t="s">
        <v>230</v>
      </c>
      <c r="D42" s="164" t="s">
        <v>83</v>
      </c>
      <c r="E42" s="144">
        <v>45294.7</v>
      </c>
      <c r="F42" s="202">
        <v>43.956000000000003</v>
      </c>
      <c r="G42" s="164"/>
      <c r="H42" s="164"/>
      <c r="I42" s="79"/>
      <c r="J42" s="21"/>
    </row>
    <row r="43" spans="2:12" x14ac:dyDescent="0.35">
      <c r="B43" s="163"/>
      <c r="C43" s="163" t="s">
        <v>231</v>
      </c>
      <c r="D43" s="164" t="s">
        <v>84</v>
      </c>
      <c r="E43" s="144">
        <v>55605.197</v>
      </c>
      <c r="F43" s="203">
        <v>41.756</v>
      </c>
      <c r="G43" s="164"/>
      <c r="H43" s="164"/>
      <c r="I43" s="79"/>
    </row>
    <row r="44" spans="2:12" x14ac:dyDescent="0.35">
      <c r="B44" s="99"/>
      <c r="C44" s="99" t="s">
        <v>232</v>
      </c>
      <c r="D44" s="79" t="s">
        <v>85</v>
      </c>
      <c r="E44" s="144">
        <v>122011.2</v>
      </c>
      <c r="F44" s="203">
        <v>81.438000000000002</v>
      </c>
      <c r="G44" s="79"/>
      <c r="H44" s="79"/>
      <c r="I44" s="159"/>
    </row>
    <row r="45" spans="2:12" ht="15" thickBot="1" x14ac:dyDescent="0.4">
      <c r="B45" s="165">
        <v>45900</v>
      </c>
      <c r="C45" s="165"/>
      <c r="D45" s="166" t="s">
        <v>89</v>
      </c>
      <c r="E45" s="204">
        <f>SUM(E41:E44)</f>
        <v>222911.09700000001</v>
      </c>
      <c r="F45" s="204">
        <f>SUM(F41:F44)</f>
        <v>167.15</v>
      </c>
      <c r="G45" s="166">
        <f>SUM(G41:G44)</f>
        <v>0</v>
      </c>
      <c r="H45" s="166">
        <f>SUM(H41:H44)</f>
        <v>0</v>
      </c>
      <c r="I45" s="166">
        <f>SUM(I41:I44)</f>
        <v>0</v>
      </c>
    </row>
    <row r="46" spans="2:12" ht="15" thickTop="1" x14ac:dyDescent="0.35">
      <c r="B46" s="160">
        <v>45901</v>
      </c>
      <c r="C46" s="160" t="s">
        <v>230</v>
      </c>
      <c r="D46" s="161" t="s">
        <v>82</v>
      </c>
      <c r="E46" s="162">
        <v>0</v>
      </c>
      <c r="F46" s="162">
        <v>0</v>
      </c>
      <c r="G46" s="162"/>
      <c r="H46" s="162"/>
      <c r="I46" s="159"/>
      <c r="L46" s="21"/>
    </row>
    <row r="47" spans="2:12" x14ac:dyDescent="0.35">
      <c r="B47" s="163"/>
      <c r="C47" s="163" t="s">
        <v>230</v>
      </c>
      <c r="D47" s="164" t="s">
        <v>83</v>
      </c>
      <c r="E47" s="162">
        <v>0</v>
      </c>
      <c r="F47" s="162">
        <v>0</v>
      </c>
      <c r="G47" s="164"/>
      <c r="H47" s="164"/>
      <c r="I47" s="79"/>
      <c r="L47" s="21"/>
    </row>
    <row r="48" spans="2:12" x14ac:dyDescent="0.35">
      <c r="B48" s="163"/>
      <c r="C48" s="163" t="s">
        <v>231</v>
      </c>
      <c r="D48" s="164" t="s">
        <v>84</v>
      </c>
      <c r="E48" s="164">
        <v>8530</v>
      </c>
      <c r="F48" s="164">
        <v>50.7</v>
      </c>
      <c r="G48" s="164"/>
      <c r="H48" s="164"/>
      <c r="I48" s="79"/>
      <c r="L48" s="21"/>
    </row>
    <row r="49" spans="2:12" x14ac:dyDescent="0.35">
      <c r="B49" s="99"/>
      <c r="C49" s="99" t="s">
        <v>232</v>
      </c>
      <c r="D49" s="79" t="s">
        <v>85</v>
      </c>
      <c r="E49" s="164">
        <v>130673.26</v>
      </c>
      <c r="F49" s="164">
        <v>0</v>
      </c>
      <c r="G49" s="79"/>
      <c r="H49" s="79"/>
      <c r="I49" s="159"/>
    </row>
    <row r="50" spans="2:12" ht="15" thickBot="1" x14ac:dyDescent="0.4">
      <c r="B50" s="165">
        <v>45930</v>
      </c>
      <c r="C50" s="165"/>
      <c r="D50" s="166" t="s">
        <v>89</v>
      </c>
      <c r="E50" s="166">
        <f>SUM(E46:E49)</f>
        <v>139203.26</v>
      </c>
      <c r="F50" s="166">
        <f>SUM(F46:F49)</f>
        <v>50.7</v>
      </c>
      <c r="G50" s="166">
        <f>SUM(G46:G49)</f>
        <v>0</v>
      </c>
      <c r="H50" s="166">
        <f>SUM(H46:H49)</f>
        <v>0</v>
      </c>
      <c r="I50" s="166">
        <f>SUM(I46:I49)</f>
        <v>0</v>
      </c>
    </row>
    <row r="51" spans="2:12" ht="15" thickTop="1" x14ac:dyDescent="0.35">
      <c r="B51" s="160">
        <v>45931</v>
      </c>
      <c r="C51" s="160" t="s">
        <v>230</v>
      </c>
      <c r="D51" s="161" t="s">
        <v>82</v>
      </c>
      <c r="E51" s="161"/>
      <c r="F51" s="162"/>
      <c r="G51" s="162"/>
      <c r="H51" s="162"/>
      <c r="I51" s="159"/>
      <c r="K51" s="54"/>
      <c r="L51" s="21"/>
    </row>
    <row r="52" spans="2:12" x14ac:dyDescent="0.35">
      <c r="B52" s="163"/>
      <c r="C52" s="163" t="s">
        <v>230</v>
      </c>
      <c r="D52" s="164" t="s">
        <v>83</v>
      </c>
      <c r="E52" s="164">
        <v>41503.1</v>
      </c>
      <c r="F52" s="164">
        <v>83.748999999999995</v>
      </c>
      <c r="G52" s="164">
        <v>0</v>
      </c>
      <c r="H52" s="164"/>
      <c r="I52" s="79"/>
      <c r="L52" s="21"/>
    </row>
    <row r="53" spans="2:12" x14ac:dyDescent="0.35">
      <c r="B53" s="163"/>
      <c r="C53" s="163" t="s">
        <v>231</v>
      </c>
      <c r="D53" s="164" t="s">
        <v>84</v>
      </c>
      <c r="E53" s="164">
        <v>101162.7</v>
      </c>
      <c r="F53" s="164">
        <v>197.78100000000001</v>
      </c>
      <c r="G53" s="164">
        <v>0</v>
      </c>
      <c r="H53" s="164"/>
      <c r="I53" s="79"/>
      <c r="L53" s="21"/>
    </row>
    <row r="54" spans="2:12" x14ac:dyDescent="0.35">
      <c r="B54" s="99"/>
      <c r="C54" s="99" t="s">
        <v>232</v>
      </c>
      <c r="D54" s="79" t="s">
        <v>85</v>
      </c>
      <c r="E54" s="142">
        <v>88714.6</v>
      </c>
      <c r="F54" s="79">
        <v>104.63800000000001</v>
      </c>
      <c r="G54" s="79">
        <v>0</v>
      </c>
      <c r="H54" s="79"/>
      <c r="I54" s="159"/>
    </row>
    <row r="55" spans="2:12" ht="15" thickBot="1" x14ac:dyDescent="0.4">
      <c r="B55" s="165">
        <v>45961</v>
      </c>
      <c r="C55" s="165"/>
      <c r="D55" s="166" t="s">
        <v>89</v>
      </c>
      <c r="E55" s="166">
        <f>SUM(E51:E54)</f>
        <v>231380.4</v>
      </c>
      <c r="F55" s="166">
        <f>SUM(F51:F54)</f>
        <v>386.16800000000001</v>
      </c>
      <c r="G55" s="166">
        <f>SUM(G51:G54)</f>
        <v>0</v>
      </c>
      <c r="H55" s="166">
        <f>SUM(H51:H54)</f>
        <v>0</v>
      </c>
      <c r="I55" s="166">
        <f>SUM(I51:I54)</f>
        <v>0</v>
      </c>
    </row>
    <row r="56" spans="2:12" ht="15" thickTop="1" x14ac:dyDescent="0.35">
      <c r="B56" s="160">
        <v>45962</v>
      </c>
      <c r="C56" s="160" t="s">
        <v>230</v>
      </c>
      <c r="D56" s="161" t="s">
        <v>82</v>
      </c>
      <c r="E56" s="162"/>
      <c r="F56" s="162"/>
      <c r="G56" s="162"/>
      <c r="H56" s="162"/>
      <c r="I56" s="159"/>
      <c r="J56" s="23"/>
      <c r="K56" s="23"/>
    </row>
    <row r="57" spans="2:12" x14ac:dyDescent="0.35">
      <c r="B57" s="163"/>
      <c r="C57" s="163" t="s">
        <v>230</v>
      </c>
      <c r="D57" s="164" t="s">
        <v>83</v>
      </c>
      <c r="E57" s="164">
        <v>47551.099999999991</v>
      </c>
      <c r="F57" s="164">
        <v>35.489000000000004</v>
      </c>
      <c r="G57" s="164"/>
      <c r="H57" s="164"/>
      <c r="I57" s="79"/>
    </row>
    <row r="58" spans="2:12" x14ac:dyDescent="0.35">
      <c r="B58" s="163"/>
      <c r="C58" s="163" t="s">
        <v>231</v>
      </c>
      <c r="D58" s="164" t="s">
        <v>84</v>
      </c>
      <c r="E58" s="164">
        <v>98725.5</v>
      </c>
      <c r="F58" s="164">
        <v>150.68700000000001</v>
      </c>
      <c r="G58" s="164"/>
      <c r="H58" s="164"/>
      <c r="I58" s="79"/>
    </row>
    <row r="59" spans="2:12" x14ac:dyDescent="0.35">
      <c r="B59" s="99"/>
      <c r="C59" s="99" t="s">
        <v>232</v>
      </c>
      <c r="D59" s="79" t="s">
        <v>85</v>
      </c>
      <c r="E59" s="79">
        <v>113805.10000000008</v>
      </c>
      <c r="F59" s="79">
        <v>38.489000000000004</v>
      </c>
      <c r="G59" s="79"/>
      <c r="H59" s="79"/>
      <c r="I59" s="159"/>
    </row>
    <row r="60" spans="2:12" ht="15" thickBot="1" x14ac:dyDescent="0.4">
      <c r="B60" s="165">
        <v>45991</v>
      </c>
      <c r="C60" s="165"/>
      <c r="D60" s="166" t="s">
        <v>89</v>
      </c>
      <c r="E60" s="166">
        <f>SUM(E56:E59)</f>
        <v>260081.70000000007</v>
      </c>
      <c r="F60" s="166">
        <f>SUM(F56:F59)</f>
        <v>224.66500000000002</v>
      </c>
      <c r="G60" s="166">
        <f>SUM(G56:G59)</f>
        <v>0</v>
      </c>
      <c r="H60" s="166">
        <f>SUM(H56:H59)</f>
        <v>0</v>
      </c>
      <c r="I60" s="166">
        <f>SUM(I56:I59)</f>
        <v>0</v>
      </c>
    </row>
    <row r="61" spans="2:12" ht="15" thickTop="1" x14ac:dyDescent="0.35">
      <c r="B61" s="160">
        <v>45992</v>
      </c>
      <c r="C61" s="160" t="s">
        <v>230</v>
      </c>
      <c r="D61" s="161" t="s">
        <v>82</v>
      </c>
      <c r="E61" s="162"/>
      <c r="F61" s="162"/>
      <c r="G61" s="162"/>
      <c r="H61" s="162"/>
      <c r="I61" s="159"/>
      <c r="J61" s="23"/>
      <c r="K61" s="23"/>
    </row>
    <row r="62" spans="2:12" x14ac:dyDescent="0.35">
      <c r="B62" s="163"/>
      <c r="C62" s="163" t="s">
        <v>230</v>
      </c>
      <c r="D62" s="164" t="s">
        <v>83</v>
      </c>
      <c r="E62" s="196">
        <v>4496.2</v>
      </c>
      <c r="F62" s="164">
        <v>137.26</v>
      </c>
      <c r="G62" s="164"/>
      <c r="H62" s="164"/>
      <c r="I62" s="79"/>
    </row>
    <row r="63" spans="2:12" x14ac:dyDescent="0.35">
      <c r="B63" s="163"/>
      <c r="C63" s="163" t="s">
        <v>231</v>
      </c>
      <c r="D63" s="164" t="s">
        <v>84</v>
      </c>
      <c r="E63" s="196">
        <v>39798.5</v>
      </c>
      <c r="F63" s="246">
        <v>28.94</v>
      </c>
      <c r="G63" s="246"/>
      <c r="H63" s="164"/>
      <c r="I63" s="79"/>
    </row>
    <row r="64" spans="2:12" x14ac:dyDescent="0.35">
      <c r="B64" s="99"/>
      <c r="C64" s="99" t="s">
        <v>232</v>
      </c>
      <c r="D64" s="79" t="s">
        <v>85</v>
      </c>
      <c r="E64" s="196">
        <v>71286.3</v>
      </c>
      <c r="F64" s="248" t="s">
        <v>388</v>
      </c>
      <c r="G64" s="248"/>
      <c r="H64" s="245"/>
      <c r="I64" s="159"/>
    </row>
    <row r="65" spans="2:9" ht="15" thickBot="1" x14ac:dyDescent="0.4">
      <c r="B65" s="165">
        <v>46022</v>
      </c>
      <c r="C65" s="165"/>
      <c r="D65" s="166" t="s">
        <v>89</v>
      </c>
      <c r="E65" s="249">
        <f>SUM(E61:E64)</f>
        <v>115581</v>
      </c>
      <c r="F65" s="247">
        <f>SUM(F61:F64)</f>
        <v>166.2</v>
      </c>
      <c r="G65" s="247">
        <f>SUM(G61:G64)</f>
        <v>0</v>
      </c>
      <c r="H65" s="166">
        <f>SUM(H61:H64)</f>
        <v>0</v>
      </c>
      <c r="I65" s="166">
        <f>SUM(I61:I64)</f>
        <v>0</v>
      </c>
    </row>
    <row r="66" spans="2:9" ht="15" thickTop="1" x14ac:dyDescent="0.35"/>
  </sheetData>
  <mergeCells count="1">
    <mergeCell ref="B1: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4AC0D-9E8E-4025-8BDE-FA9A3DFA25D2}">
  <dimension ref="B1:U38"/>
  <sheetViews>
    <sheetView showGridLines="0" topLeftCell="A20" zoomScale="85" zoomScaleNormal="85" workbookViewId="0">
      <selection activeCell="I24" sqref="I24"/>
    </sheetView>
  </sheetViews>
  <sheetFormatPr defaultRowHeight="14.5" x14ac:dyDescent="0.35"/>
  <cols>
    <col min="1" max="1" width="2.7265625" customWidth="1"/>
    <col min="2" max="3" width="12.81640625" customWidth="1"/>
    <col min="4" max="4" width="31.26953125" bestFit="1" customWidth="1"/>
    <col min="5" max="5" width="12.453125" bestFit="1" customWidth="1"/>
    <col min="6" max="6" width="15" customWidth="1"/>
    <col min="7" max="7" width="18" style="32" bestFit="1" customWidth="1"/>
    <col min="8" max="8" width="11" customWidth="1"/>
    <col min="9" max="9" width="15.81640625" style="32" bestFit="1" customWidth="1"/>
    <col min="10" max="10" width="18" style="32" bestFit="1" customWidth="1"/>
    <col min="11" max="11" width="12.7265625" bestFit="1" customWidth="1"/>
    <col min="12" max="12" width="10.1796875" bestFit="1" customWidth="1"/>
    <col min="13" max="13" width="20" bestFit="1" customWidth="1"/>
    <col min="14" max="14" width="13.26953125" bestFit="1" customWidth="1"/>
    <col min="15" max="15" width="20.08984375" bestFit="1" customWidth="1"/>
    <col min="17" max="17" width="11.81640625" customWidth="1"/>
    <col min="18" max="18" width="18" bestFit="1" customWidth="1"/>
    <col min="19" max="19" width="13.26953125" bestFit="1" customWidth="1"/>
    <col min="20" max="20" width="18.453125" bestFit="1" customWidth="1"/>
    <col min="21" max="21" width="21.7265625" bestFit="1" customWidth="1"/>
  </cols>
  <sheetData>
    <row r="1" spans="2:21" ht="15" customHeight="1" x14ac:dyDescent="0.35">
      <c r="B1" s="260" t="s">
        <v>136</v>
      </c>
      <c r="C1" s="260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2:21" x14ac:dyDescent="0.35"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2:21" x14ac:dyDescent="0.35"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</row>
    <row r="5" spans="2:21" ht="16.5" customHeight="1" x14ac:dyDescent="0.35">
      <c r="B5" s="261" t="s">
        <v>34</v>
      </c>
      <c r="C5" s="261"/>
      <c r="D5" s="261"/>
      <c r="E5" s="261"/>
      <c r="F5" s="261"/>
      <c r="G5" s="261"/>
      <c r="H5" s="261"/>
      <c r="I5" s="261"/>
      <c r="J5" s="261"/>
      <c r="L5" s="295" t="s">
        <v>57</v>
      </c>
      <c r="M5" s="295"/>
      <c r="N5" s="295"/>
      <c r="O5" s="295"/>
      <c r="Q5" s="261" t="s">
        <v>146</v>
      </c>
      <c r="R5" s="261"/>
      <c r="S5" s="261"/>
      <c r="T5" s="261"/>
    </row>
    <row r="6" spans="2:21" s="2" customFormat="1" ht="43.5" x14ac:dyDescent="0.35">
      <c r="B6" s="74" t="s">
        <v>144</v>
      </c>
      <c r="C6" s="74" t="s">
        <v>145</v>
      </c>
      <c r="D6" s="74" t="s">
        <v>51</v>
      </c>
      <c r="E6" s="74" t="s">
        <v>33</v>
      </c>
      <c r="F6" s="74" t="s">
        <v>147</v>
      </c>
      <c r="G6" s="74" t="s">
        <v>143</v>
      </c>
      <c r="H6" s="63" t="s">
        <v>148</v>
      </c>
      <c r="I6" s="73" t="s">
        <v>127</v>
      </c>
      <c r="J6" s="75" t="s">
        <v>142</v>
      </c>
      <c r="K6" s="4"/>
      <c r="L6" s="154" t="s">
        <v>19</v>
      </c>
      <c r="M6" s="73" t="s">
        <v>141</v>
      </c>
      <c r="N6" s="73" t="s">
        <v>126</v>
      </c>
      <c r="O6" s="75" t="s">
        <v>73</v>
      </c>
      <c r="Q6" s="74" t="s">
        <v>19</v>
      </c>
      <c r="R6" s="73" t="s">
        <v>141</v>
      </c>
      <c r="S6" s="73" t="s">
        <v>126</v>
      </c>
      <c r="T6" s="155" t="s">
        <v>73</v>
      </c>
      <c r="U6" s="1"/>
    </row>
    <row r="7" spans="2:21" x14ac:dyDescent="0.35">
      <c r="B7" s="99">
        <f>DATE(YEAR(F7),MONTH(F7),1)</f>
        <v>45689</v>
      </c>
      <c r="C7" s="99">
        <v>45658</v>
      </c>
      <c r="D7" s="79" t="s">
        <v>377</v>
      </c>
      <c r="E7" s="79"/>
      <c r="F7" s="132">
        <v>45705</v>
      </c>
      <c r="G7" s="81">
        <f>'Carvão &amp; Total'!K7</f>
        <v>85010160.790000007</v>
      </c>
      <c r="H7" s="79">
        <v>1</v>
      </c>
      <c r="I7" s="153">
        <f t="shared" ref="I7:I11" si="0">G7*(H7-1)</f>
        <v>0</v>
      </c>
      <c r="J7" s="81">
        <f t="shared" ref="J7:J11" si="1">G7+I7</f>
        <v>85010160.790000007</v>
      </c>
      <c r="L7" s="88" t="s">
        <v>259</v>
      </c>
      <c r="M7" s="81">
        <f t="shared" ref="M7:M18" si="2">SUMIF($C:$C,L7,$G:$G)</f>
        <v>86885284.013238415</v>
      </c>
      <c r="N7" s="81">
        <f t="shared" ref="N7:N18" si="3">SUMIF($C:$C,L7,$I:$I)</f>
        <v>0</v>
      </c>
      <c r="O7" s="81">
        <f>SUM(M7:N7)</f>
        <v>86885284.013238415</v>
      </c>
      <c r="Q7" s="88" t="s">
        <v>259</v>
      </c>
      <c r="R7" s="81">
        <f t="shared" ref="R7:R18" si="4">SUMIF($B:$B,Q7,$G:$G)</f>
        <v>0</v>
      </c>
      <c r="S7" s="81">
        <f t="shared" ref="S7:S18" si="5">SUMIF($B:$B,Q7,$I:$I)</f>
        <v>0</v>
      </c>
      <c r="T7" s="81">
        <f>SUM(R7:S7)</f>
        <v>0</v>
      </c>
    </row>
    <row r="8" spans="2:21" x14ac:dyDescent="0.35">
      <c r="B8" s="99">
        <f t="shared" ref="B8:B9" si="6">DATE(YEAR(F8),MONTH(F8),1)</f>
        <v>45689</v>
      </c>
      <c r="C8" s="99">
        <v>45658</v>
      </c>
      <c r="D8" s="79" t="s">
        <v>282</v>
      </c>
      <c r="E8" s="79"/>
      <c r="F8" s="132">
        <v>45705</v>
      </c>
      <c r="G8" s="81">
        <v>1084839.0862460099</v>
      </c>
      <c r="H8" s="79">
        <v>1</v>
      </c>
      <c r="I8" s="153">
        <f t="shared" si="0"/>
        <v>0</v>
      </c>
      <c r="J8" s="81">
        <f t="shared" si="1"/>
        <v>1084839.0862460099</v>
      </c>
      <c r="L8" s="88" t="s">
        <v>260</v>
      </c>
      <c r="M8" s="81">
        <f t="shared" si="2"/>
        <v>85791574.470000014</v>
      </c>
      <c r="N8" s="81">
        <f t="shared" si="3"/>
        <v>0</v>
      </c>
      <c r="O8" s="81">
        <f t="shared" ref="O8:O18" si="7">SUM(M8:N8)</f>
        <v>85791574.470000014</v>
      </c>
      <c r="Q8" s="88" t="s">
        <v>260</v>
      </c>
      <c r="R8" s="81">
        <f t="shared" si="4"/>
        <v>86967760.605106115</v>
      </c>
      <c r="S8" s="81">
        <f t="shared" si="5"/>
        <v>561.52538041282332</v>
      </c>
      <c r="T8" s="81">
        <f t="shared" ref="T8:T18" si="8">SUM(R8:S8)</f>
        <v>86968322.130486533</v>
      </c>
    </row>
    <row r="9" spans="2:21" x14ac:dyDescent="0.35">
      <c r="B9" s="99">
        <f t="shared" si="6"/>
        <v>45689</v>
      </c>
      <c r="C9" s="99">
        <v>45658</v>
      </c>
      <c r="D9" s="79" t="s">
        <v>286</v>
      </c>
      <c r="E9" s="79"/>
      <c r="F9" s="132">
        <v>45716</v>
      </c>
      <c r="G9" s="81">
        <f>1875123.2232384-G8</f>
        <v>790284.13699239003</v>
      </c>
      <c r="H9" s="79">
        <v>1</v>
      </c>
      <c r="I9" s="153">
        <f t="shared" si="0"/>
        <v>0</v>
      </c>
      <c r="J9" s="81">
        <f t="shared" si="1"/>
        <v>790284.13699239003</v>
      </c>
      <c r="L9" s="88" t="s">
        <v>261</v>
      </c>
      <c r="M9" s="81">
        <f t="shared" si="2"/>
        <v>86899029.633928612</v>
      </c>
      <c r="N9" s="81">
        <f t="shared" si="3"/>
        <v>0</v>
      </c>
      <c r="O9" s="81">
        <f t="shared" si="7"/>
        <v>86899029.633928612</v>
      </c>
      <c r="Q9" s="88" t="s">
        <v>261</v>
      </c>
      <c r="R9" s="81">
        <f t="shared" si="4"/>
        <v>85791574.470000014</v>
      </c>
      <c r="S9" s="81">
        <f t="shared" si="5"/>
        <v>0</v>
      </c>
      <c r="T9" s="81">
        <f t="shared" si="8"/>
        <v>85791574.470000014</v>
      </c>
    </row>
    <row r="10" spans="2:21" x14ac:dyDescent="0.35">
      <c r="B10" s="99">
        <v>45689</v>
      </c>
      <c r="C10" s="99">
        <v>45597</v>
      </c>
      <c r="D10" s="79" t="s">
        <v>286</v>
      </c>
      <c r="E10" s="79"/>
      <c r="F10" s="132">
        <v>45716</v>
      </c>
      <c r="G10" s="81">
        <v>82476.591867693118</v>
      </c>
      <c r="H10" s="79">
        <v>1.0068083000000001</v>
      </c>
      <c r="I10" s="153">
        <f t="shared" si="0"/>
        <v>561.52538041282332</v>
      </c>
      <c r="J10" s="81">
        <f t="shared" si="1"/>
        <v>83038.117248105948</v>
      </c>
      <c r="L10" s="88" t="s">
        <v>262</v>
      </c>
      <c r="M10" s="81">
        <f t="shared" si="2"/>
        <v>85708385.334834889</v>
      </c>
      <c r="N10" s="81">
        <f t="shared" si="3"/>
        <v>0</v>
      </c>
      <c r="O10" s="81">
        <f t="shared" ref="O10" si="9">SUM(M10:N10)</f>
        <v>85708385.334834889</v>
      </c>
      <c r="Q10" s="88" t="s">
        <v>262</v>
      </c>
      <c r="R10" s="81">
        <f t="shared" si="4"/>
        <v>86899029.633928612</v>
      </c>
      <c r="S10" s="81">
        <f t="shared" si="5"/>
        <v>0</v>
      </c>
      <c r="T10" s="81">
        <f t="shared" ref="T10:T11" si="10">SUM(R10:S10)</f>
        <v>86899029.633928612</v>
      </c>
    </row>
    <row r="11" spans="2:21" x14ac:dyDescent="0.35">
      <c r="B11" s="99">
        <f>DATE(YEAR(F11),MONTH(F11),1)</f>
        <v>45717</v>
      </c>
      <c r="C11" s="99">
        <v>45689</v>
      </c>
      <c r="D11" s="79" t="s">
        <v>377</v>
      </c>
      <c r="E11" s="79"/>
      <c r="F11" s="132">
        <v>45733</v>
      </c>
      <c r="G11" s="81">
        <f>'Carvão &amp; Total'!K8</f>
        <v>85010160.790000007</v>
      </c>
      <c r="H11" s="79">
        <v>1</v>
      </c>
      <c r="I11" s="153">
        <f t="shared" si="0"/>
        <v>0</v>
      </c>
      <c r="J11" s="81">
        <f t="shared" si="1"/>
        <v>85010160.790000007</v>
      </c>
      <c r="L11" s="88" t="s">
        <v>263</v>
      </c>
      <c r="M11" s="81">
        <f t="shared" si="2"/>
        <v>88173194.056082651</v>
      </c>
      <c r="N11" s="81">
        <f t="shared" si="3"/>
        <v>0</v>
      </c>
      <c r="O11" s="81">
        <f t="shared" ref="O11" si="11">SUM(M11:N11)</f>
        <v>88173194.056082651</v>
      </c>
      <c r="Q11" s="88" t="s">
        <v>263</v>
      </c>
      <c r="R11" s="81">
        <f t="shared" si="4"/>
        <v>85708385.334834889</v>
      </c>
      <c r="S11" s="81">
        <f t="shared" si="5"/>
        <v>0</v>
      </c>
      <c r="T11" s="81">
        <f t="shared" si="10"/>
        <v>85708385.334834889</v>
      </c>
    </row>
    <row r="12" spans="2:21" x14ac:dyDescent="0.35">
      <c r="B12" s="99">
        <f t="shared" ref="B12:B36" si="12">DATE(YEAR(F12),MONTH(F12),1)</f>
        <v>45717</v>
      </c>
      <c r="C12" s="99">
        <v>45689</v>
      </c>
      <c r="D12" s="79" t="s">
        <v>282</v>
      </c>
      <c r="E12" s="79"/>
      <c r="F12" s="132">
        <v>45733</v>
      </c>
      <c r="G12" s="81">
        <v>781413.68</v>
      </c>
      <c r="H12" s="79">
        <v>1</v>
      </c>
      <c r="I12" s="153">
        <f t="shared" ref="I12:I36" si="13">G12*(H12-1)</f>
        <v>0</v>
      </c>
      <c r="J12" s="81">
        <f t="shared" ref="J12:J36" si="14">G12+I12</f>
        <v>781413.68</v>
      </c>
      <c r="L12" s="88" t="s">
        <v>258</v>
      </c>
      <c r="M12" s="81">
        <f t="shared" si="2"/>
        <v>87169225.812014028</v>
      </c>
      <c r="N12" s="81">
        <f t="shared" si="3"/>
        <v>0</v>
      </c>
      <c r="O12" s="81">
        <f t="shared" si="7"/>
        <v>87169225.812014028</v>
      </c>
      <c r="Q12" s="88" t="s">
        <v>258</v>
      </c>
      <c r="R12" s="81">
        <f t="shared" si="4"/>
        <v>88173194.056082651</v>
      </c>
      <c r="S12" s="81">
        <f t="shared" si="5"/>
        <v>0</v>
      </c>
      <c r="T12" s="81">
        <f t="shared" si="8"/>
        <v>88173194.056082651</v>
      </c>
    </row>
    <row r="13" spans="2:21" x14ac:dyDescent="0.35">
      <c r="B13" s="99">
        <f t="shared" si="12"/>
        <v>45748</v>
      </c>
      <c r="C13" s="99">
        <v>45717</v>
      </c>
      <c r="D13" s="79" t="s">
        <v>282</v>
      </c>
      <c r="E13" s="79"/>
      <c r="F13" s="132">
        <v>45762</v>
      </c>
      <c r="G13" s="81">
        <v>1888868.8439285997</v>
      </c>
      <c r="H13" s="79">
        <v>1</v>
      </c>
      <c r="I13" s="153">
        <f t="shared" si="13"/>
        <v>0</v>
      </c>
      <c r="J13" s="81">
        <f t="shared" si="14"/>
        <v>1888868.8439285997</v>
      </c>
      <c r="L13" s="88" t="s">
        <v>264</v>
      </c>
      <c r="M13" s="81">
        <f t="shared" si="2"/>
        <v>86243968.532756761</v>
      </c>
      <c r="N13" s="81">
        <f t="shared" si="3"/>
        <v>0</v>
      </c>
      <c r="O13" s="81">
        <f t="shared" si="7"/>
        <v>86243968.532756761</v>
      </c>
      <c r="Q13" s="88" t="s">
        <v>264</v>
      </c>
      <c r="R13" s="81">
        <f t="shared" si="4"/>
        <v>87169225.812014028</v>
      </c>
      <c r="S13" s="81">
        <f t="shared" si="5"/>
        <v>0</v>
      </c>
      <c r="T13" s="81">
        <f t="shared" si="8"/>
        <v>87169225.812014028</v>
      </c>
    </row>
    <row r="14" spans="2:21" x14ac:dyDescent="0.35">
      <c r="B14" s="99">
        <f t="shared" si="12"/>
        <v>45748</v>
      </c>
      <c r="C14" s="99">
        <v>45717</v>
      </c>
      <c r="D14" s="79" t="s">
        <v>377</v>
      </c>
      <c r="E14" s="79"/>
      <c r="F14" s="132">
        <v>45762</v>
      </c>
      <c r="G14" s="81">
        <f>'Carvão &amp; Total'!K9</f>
        <v>85010160.790000007</v>
      </c>
      <c r="H14" s="79">
        <v>1</v>
      </c>
      <c r="I14" s="153">
        <f t="shared" si="13"/>
        <v>0</v>
      </c>
      <c r="J14" s="81">
        <f t="shared" si="14"/>
        <v>85010160.790000007</v>
      </c>
      <c r="L14" s="88" t="s">
        <v>265</v>
      </c>
      <c r="M14" s="81">
        <f t="shared" si="2"/>
        <v>85656638.636263505</v>
      </c>
      <c r="N14" s="81">
        <f t="shared" si="3"/>
        <v>0</v>
      </c>
      <c r="O14" s="81">
        <f t="shared" si="7"/>
        <v>85656638.636263505</v>
      </c>
      <c r="Q14" s="88" t="s">
        <v>265</v>
      </c>
      <c r="R14" s="81">
        <f t="shared" si="4"/>
        <v>86243968.532756761</v>
      </c>
      <c r="S14" s="81">
        <f t="shared" si="5"/>
        <v>0</v>
      </c>
      <c r="T14" s="81">
        <f t="shared" si="8"/>
        <v>86243968.532756761</v>
      </c>
    </row>
    <row r="15" spans="2:21" x14ac:dyDescent="0.35">
      <c r="B15" s="99">
        <f t="shared" si="12"/>
        <v>45778</v>
      </c>
      <c r="C15" s="99">
        <v>45748</v>
      </c>
      <c r="D15" s="79" t="s">
        <v>377</v>
      </c>
      <c r="E15" s="79"/>
      <c r="F15" s="132">
        <v>45792</v>
      </c>
      <c r="G15" s="81">
        <f>'Carvão &amp; Total'!K10</f>
        <v>85010160.790000007</v>
      </c>
      <c r="H15" s="79">
        <v>1</v>
      </c>
      <c r="I15" s="153">
        <f t="shared" si="13"/>
        <v>0</v>
      </c>
      <c r="J15" s="81">
        <f t="shared" si="14"/>
        <v>85010160.790000007</v>
      </c>
      <c r="L15" s="88" t="s">
        <v>266</v>
      </c>
      <c r="M15" s="81">
        <f t="shared" si="2"/>
        <v>85206250.690123007</v>
      </c>
      <c r="N15" s="81">
        <f t="shared" si="3"/>
        <v>0</v>
      </c>
      <c r="O15" s="81">
        <f t="shared" si="7"/>
        <v>85206250.690123007</v>
      </c>
      <c r="Q15" s="88" t="s">
        <v>266</v>
      </c>
      <c r="R15" s="81">
        <f t="shared" si="4"/>
        <v>85656638.636263505</v>
      </c>
      <c r="S15" s="81">
        <f t="shared" si="5"/>
        <v>0</v>
      </c>
      <c r="T15" s="81">
        <f t="shared" si="8"/>
        <v>85656638.636263505</v>
      </c>
    </row>
    <row r="16" spans="2:21" x14ac:dyDescent="0.35">
      <c r="B16" s="99">
        <f t="shared" si="12"/>
        <v>45778</v>
      </c>
      <c r="C16" s="99">
        <v>45748</v>
      </c>
      <c r="D16" s="79" t="s">
        <v>282</v>
      </c>
      <c r="E16" s="79"/>
      <c r="F16" s="132">
        <v>45792</v>
      </c>
      <c r="G16" s="81">
        <v>698224.54483487993</v>
      </c>
      <c r="H16" s="79">
        <v>1</v>
      </c>
      <c r="I16" s="153">
        <f t="shared" si="13"/>
        <v>0</v>
      </c>
      <c r="J16" s="81">
        <f t="shared" si="14"/>
        <v>698224.54483487993</v>
      </c>
      <c r="L16" s="88" t="s">
        <v>267</v>
      </c>
      <c r="M16" s="81">
        <f t="shared" si="2"/>
        <v>86525823.374853373</v>
      </c>
      <c r="N16" s="81">
        <f t="shared" si="3"/>
        <v>0</v>
      </c>
      <c r="O16" s="81">
        <f t="shared" si="7"/>
        <v>86525823.374853373</v>
      </c>
      <c r="Q16" s="88" t="s">
        <v>267</v>
      </c>
      <c r="R16" s="81">
        <f t="shared" si="4"/>
        <v>85206250.690123007</v>
      </c>
      <c r="S16" s="81">
        <f t="shared" si="5"/>
        <v>0</v>
      </c>
      <c r="T16" s="81">
        <f t="shared" si="8"/>
        <v>85206250.690123007</v>
      </c>
    </row>
    <row r="17" spans="2:20" x14ac:dyDescent="0.35">
      <c r="B17" s="99">
        <f t="shared" si="12"/>
        <v>45809</v>
      </c>
      <c r="C17" s="99">
        <v>45778</v>
      </c>
      <c r="D17" s="79" t="s">
        <v>377</v>
      </c>
      <c r="E17" s="79"/>
      <c r="F17" s="132">
        <v>45824</v>
      </c>
      <c r="G17" s="81">
        <f>'Carvão &amp; Total'!K11</f>
        <v>85010160.790000007</v>
      </c>
      <c r="H17" s="79">
        <v>1</v>
      </c>
      <c r="I17" s="153">
        <f t="shared" si="13"/>
        <v>0</v>
      </c>
      <c r="J17" s="81">
        <f t="shared" si="14"/>
        <v>85010160.790000007</v>
      </c>
      <c r="L17" s="88" t="s">
        <v>268</v>
      </c>
      <c r="M17" s="81">
        <f t="shared" si="2"/>
        <v>85891943.67886205</v>
      </c>
      <c r="N17" s="81">
        <f t="shared" si="3"/>
        <v>0</v>
      </c>
      <c r="O17" s="81">
        <f t="shared" si="7"/>
        <v>85891943.67886205</v>
      </c>
      <c r="Q17" s="88" t="s">
        <v>268</v>
      </c>
      <c r="R17" s="81">
        <f t="shared" si="4"/>
        <v>86525823.374853373</v>
      </c>
      <c r="S17" s="81">
        <f t="shared" si="5"/>
        <v>0</v>
      </c>
      <c r="T17" s="81">
        <f t="shared" si="8"/>
        <v>86525823.374853373</v>
      </c>
    </row>
    <row r="18" spans="2:20" x14ac:dyDescent="0.35">
      <c r="B18" s="99">
        <f t="shared" si="12"/>
        <v>45809</v>
      </c>
      <c r="C18" s="99">
        <v>45778</v>
      </c>
      <c r="D18" s="79" t="s">
        <v>282</v>
      </c>
      <c r="E18" s="79"/>
      <c r="F18" s="132">
        <v>45824</v>
      </c>
      <c r="G18" s="81">
        <v>3163033.2660826403</v>
      </c>
      <c r="H18" s="79">
        <v>1</v>
      </c>
      <c r="I18" s="153">
        <f t="shared" si="13"/>
        <v>0</v>
      </c>
      <c r="J18" s="81">
        <f t="shared" si="14"/>
        <v>3163033.2660826403</v>
      </c>
      <c r="L18" s="88" t="s">
        <v>269</v>
      </c>
      <c r="M18" s="81">
        <f t="shared" si="2"/>
        <v>85665011.981215611</v>
      </c>
      <c r="N18" s="81">
        <f t="shared" si="3"/>
        <v>0</v>
      </c>
      <c r="O18" s="81">
        <f t="shared" si="7"/>
        <v>85665011.981215611</v>
      </c>
      <c r="Q18" s="88" t="s">
        <v>269</v>
      </c>
      <c r="R18" s="81">
        <f t="shared" si="4"/>
        <v>85891943.67886205</v>
      </c>
      <c r="S18" s="81">
        <f t="shared" si="5"/>
        <v>0</v>
      </c>
      <c r="T18" s="81">
        <f t="shared" si="8"/>
        <v>85891943.67886205</v>
      </c>
    </row>
    <row r="19" spans="2:20" ht="15" thickBot="1" x14ac:dyDescent="0.4">
      <c r="B19" s="99">
        <f t="shared" si="12"/>
        <v>45839</v>
      </c>
      <c r="C19" s="99">
        <v>45809</v>
      </c>
      <c r="D19" s="79" t="s">
        <v>377</v>
      </c>
      <c r="E19" s="79"/>
      <c r="F19" s="132">
        <v>45853</v>
      </c>
      <c r="G19" s="81">
        <f>'Carvão &amp; Total'!K12</f>
        <v>85010160.790000007</v>
      </c>
      <c r="H19" s="79">
        <v>1</v>
      </c>
      <c r="I19" s="153">
        <f t="shared" si="13"/>
        <v>0</v>
      </c>
      <c r="J19" s="81">
        <f t="shared" si="14"/>
        <v>85010160.790000007</v>
      </c>
      <c r="L19" s="156" t="s">
        <v>89</v>
      </c>
      <c r="M19" s="157">
        <f>SUM(M7:M18)</f>
        <v>1035816330.214173</v>
      </c>
      <c r="N19" s="157">
        <f t="shared" ref="N19:O19" si="15">SUM(N7:N18)</f>
        <v>0</v>
      </c>
      <c r="O19" s="158">
        <f t="shared" si="15"/>
        <v>1035816330.214173</v>
      </c>
      <c r="Q19" s="156" t="s">
        <v>89</v>
      </c>
      <c r="R19" s="157">
        <f>SUM(R7:R18)</f>
        <v>950233794.82482505</v>
      </c>
      <c r="S19" s="157">
        <f t="shared" ref="S19:T19" si="16">SUM(S7:S18)</f>
        <v>561.52538041282332</v>
      </c>
      <c r="T19" s="158">
        <f t="shared" si="16"/>
        <v>950234356.35020542</v>
      </c>
    </row>
    <row r="20" spans="2:20" ht="15" thickTop="1" x14ac:dyDescent="0.35">
      <c r="B20" s="99">
        <f t="shared" si="12"/>
        <v>45839</v>
      </c>
      <c r="C20" s="99">
        <v>45809</v>
      </c>
      <c r="D20" s="79" t="s">
        <v>282</v>
      </c>
      <c r="E20" s="79"/>
      <c r="F20" s="132">
        <v>45853</v>
      </c>
      <c r="G20" s="81">
        <v>2159065.02201402</v>
      </c>
      <c r="H20" s="79">
        <v>1</v>
      </c>
      <c r="I20" s="153">
        <f t="shared" si="13"/>
        <v>0</v>
      </c>
      <c r="J20" s="81">
        <f t="shared" si="14"/>
        <v>2159065.02201402</v>
      </c>
      <c r="T20" s="3"/>
    </row>
    <row r="21" spans="2:20" x14ac:dyDescent="0.35">
      <c r="B21" s="99">
        <v>45870</v>
      </c>
      <c r="C21" s="99">
        <v>45839</v>
      </c>
      <c r="D21" s="79" t="s">
        <v>377</v>
      </c>
      <c r="E21" s="79"/>
      <c r="F21" s="132">
        <v>45884</v>
      </c>
      <c r="G21" s="81">
        <f>'Carvão &amp; Total'!K13</f>
        <v>85010160.790000007</v>
      </c>
      <c r="H21" s="79">
        <v>1</v>
      </c>
      <c r="I21" s="153">
        <f t="shared" si="13"/>
        <v>0</v>
      </c>
      <c r="J21" s="81">
        <f t="shared" si="14"/>
        <v>85010160.790000007</v>
      </c>
      <c r="T21" s="32"/>
    </row>
    <row r="22" spans="2:20" x14ac:dyDescent="0.35">
      <c r="B22" s="99">
        <v>45870</v>
      </c>
      <c r="C22" s="99">
        <v>45839</v>
      </c>
      <c r="D22" s="79" t="s">
        <v>282</v>
      </c>
      <c r="E22" s="79"/>
      <c r="F22" s="132">
        <v>45884</v>
      </c>
      <c r="G22" s="81">
        <v>1233807.742756756</v>
      </c>
      <c r="H22" s="79">
        <v>1</v>
      </c>
      <c r="I22" s="153">
        <f t="shared" si="13"/>
        <v>0</v>
      </c>
      <c r="J22" s="81">
        <f t="shared" si="14"/>
        <v>1233807.742756756</v>
      </c>
      <c r="L22" s="5"/>
      <c r="M22" s="5"/>
      <c r="T22" s="32"/>
    </row>
    <row r="23" spans="2:20" x14ac:dyDescent="0.35">
      <c r="B23" s="99">
        <v>45901</v>
      </c>
      <c r="C23" s="99">
        <v>45870</v>
      </c>
      <c r="D23" s="79" t="s">
        <v>377</v>
      </c>
      <c r="E23" s="79"/>
      <c r="F23" s="132">
        <v>45915</v>
      </c>
      <c r="G23" s="81">
        <f>'Carvão &amp; Total'!K14</f>
        <v>85010160.790000007</v>
      </c>
      <c r="H23" s="79">
        <v>1</v>
      </c>
      <c r="I23" s="153">
        <f t="shared" si="13"/>
        <v>0</v>
      </c>
      <c r="J23" s="81">
        <f t="shared" si="14"/>
        <v>85010160.790000007</v>
      </c>
      <c r="L23" s="5"/>
      <c r="M23" s="5"/>
      <c r="N23" s="191"/>
    </row>
    <row r="24" spans="2:20" x14ac:dyDescent="0.35">
      <c r="B24" s="99">
        <v>45901</v>
      </c>
      <c r="C24" s="99">
        <v>45870</v>
      </c>
      <c r="D24" s="79" t="s">
        <v>282</v>
      </c>
      <c r="E24" s="79"/>
      <c r="F24" s="132">
        <v>45915</v>
      </c>
      <c r="G24" s="81">
        <f>'Carvão &amp; Total'!M14</f>
        <v>646477.84626350005</v>
      </c>
      <c r="H24" s="79">
        <v>1</v>
      </c>
      <c r="I24" s="153">
        <f t="shared" si="13"/>
        <v>0</v>
      </c>
      <c r="J24" s="81">
        <f t="shared" si="14"/>
        <v>646477.84626350005</v>
      </c>
      <c r="L24" s="5"/>
    </row>
    <row r="25" spans="2:20" x14ac:dyDescent="0.35">
      <c r="B25" s="99">
        <v>45931</v>
      </c>
      <c r="C25" s="99">
        <v>45901</v>
      </c>
      <c r="D25" s="79" t="s">
        <v>377</v>
      </c>
      <c r="E25" s="79"/>
      <c r="F25" s="132">
        <v>45945</v>
      </c>
      <c r="G25" s="81">
        <f>'Carvão &amp; Total'!K15</f>
        <v>85010160.790000007</v>
      </c>
      <c r="H25" s="79">
        <v>1</v>
      </c>
      <c r="I25" s="153">
        <f>G25*(H25-1)</f>
        <v>0</v>
      </c>
      <c r="J25" s="81">
        <f>G25+I25</f>
        <v>85010160.790000007</v>
      </c>
      <c r="K25" s="194"/>
      <c r="L25" s="5"/>
      <c r="M25" s="5"/>
      <c r="N25" s="191"/>
      <c r="T25" s="32"/>
    </row>
    <row r="26" spans="2:20" x14ac:dyDescent="0.35">
      <c r="B26" s="99">
        <v>45931</v>
      </c>
      <c r="C26" s="99">
        <v>45901</v>
      </c>
      <c r="D26" s="79" t="s">
        <v>282</v>
      </c>
      <c r="E26" s="79"/>
      <c r="F26" s="132">
        <v>45945</v>
      </c>
      <c r="G26" s="81">
        <f>'Carvão &amp; Total'!M15</f>
        <v>196089.900123</v>
      </c>
      <c r="H26" s="79">
        <v>1</v>
      </c>
      <c r="I26" s="153">
        <f t="shared" si="13"/>
        <v>0</v>
      </c>
      <c r="J26" s="81">
        <f t="shared" si="14"/>
        <v>196089.900123</v>
      </c>
      <c r="K26" s="32"/>
      <c r="L26" s="5"/>
    </row>
    <row r="27" spans="2:20" x14ac:dyDescent="0.35">
      <c r="B27" s="99">
        <v>45962</v>
      </c>
      <c r="C27" s="99">
        <v>45931</v>
      </c>
      <c r="D27" s="79" t="s">
        <v>377</v>
      </c>
      <c r="E27" s="79"/>
      <c r="F27" s="132">
        <v>45978</v>
      </c>
      <c r="G27" s="81">
        <v>85010160.790000007</v>
      </c>
      <c r="H27" s="79">
        <v>1</v>
      </c>
      <c r="I27" s="153">
        <f t="shared" ref="I27" si="17">G27*(H27-1)</f>
        <v>0</v>
      </c>
      <c r="J27" s="195">
        <f t="shared" ref="J27" si="18">G27+I27</f>
        <v>85010160.790000007</v>
      </c>
      <c r="L27" s="5"/>
    </row>
    <row r="28" spans="2:20" x14ac:dyDescent="0.35">
      <c r="B28" s="99">
        <v>45962</v>
      </c>
      <c r="C28" s="99">
        <v>45931</v>
      </c>
      <c r="D28" s="79" t="s">
        <v>282</v>
      </c>
      <c r="E28" s="79"/>
      <c r="F28" s="132">
        <v>45978</v>
      </c>
      <c r="G28" s="81">
        <f>'Carvão &amp; Total'!M16</f>
        <v>1515662.5848533602</v>
      </c>
      <c r="H28" s="79">
        <v>1</v>
      </c>
      <c r="I28" s="153">
        <f>G28*(H28-1)</f>
        <v>0</v>
      </c>
      <c r="J28" s="195">
        <f>G28</f>
        <v>1515662.5848533602</v>
      </c>
    </row>
    <row r="29" spans="2:20" x14ac:dyDescent="0.35">
      <c r="B29" s="99">
        <v>45992</v>
      </c>
      <c r="C29" s="99">
        <v>45962</v>
      </c>
      <c r="D29" s="79" t="s">
        <v>377</v>
      </c>
      <c r="E29" s="79"/>
      <c r="F29" s="132">
        <v>46006</v>
      </c>
      <c r="G29" s="190">
        <f>'Carvão &amp; Total'!H17</f>
        <v>85010160.790000007</v>
      </c>
      <c r="H29" s="79">
        <v>1</v>
      </c>
      <c r="I29" s="153">
        <f t="shared" si="13"/>
        <v>0</v>
      </c>
      <c r="J29" s="81">
        <f t="shared" si="14"/>
        <v>85010160.790000007</v>
      </c>
    </row>
    <row r="30" spans="2:20" x14ac:dyDescent="0.35">
      <c r="B30" s="99">
        <v>45992</v>
      </c>
      <c r="C30" s="99">
        <v>45962</v>
      </c>
      <c r="D30" s="79" t="s">
        <v>282</v>
      </c>
      <c r="E30" s="79"/>
      <c r="F30" s="132">
        <v>46006</v>
      </c>
      <c r="G30" s="190">
        <f>'Carvão &amp; Total'!M17</f>
        <v>881782.88886205025</v>
      </c>
      <c r="H30" s="79">
        <v>1</v>
      </c>
      <c r="I30" s="153">
        <f t="shared" si="13"/>
        <v>0</v>
      </c>
      <c r="J30" s="81">
        <f t="shared" si="14"/>
        <v>881782.88886205025</v>
      </c>
    </row>
    <row r="31" spans="2:20" x14ac:dyDescent="0.35">
      <c r="B31" s="99">
        <v>46023</v>
      </c>
      <c r="C31" s="99">
        <v>45992</v>
      </c>
      <c r="D31" s="79" t="s">
        <v>377</v>
      </c>
      <c r="E31" s="79"/>
      <c r="F31" s="132">
        <v>46037</v>
      </c>
      <c r="G31" s="190">
        <f>'Carvão &amp; Total'!H18</f>
        <v>85010160.790000007</v>
      </c>
      <c r="H31" s="79">
        <v>1</v>
      </c>
      <c r="I31" s="153">
        <f t="shared" si="13"/>
        <v>0</v>
      </c>
      <c r="J31" s="81">
        <f t="shared" si="14"/>
        <v>85010160.790000007</v>
      </c>
    </row>
    <row r="32" spans="2:20" x14ac:dyDescent="0.35">
      <c r="B32" s="99">
        <v>46023</v>
      </c>
      <c r="C32" s="99">
        <v>45992</v>
      </c>
      <c r="D32" s="79" t="s">
        <v>282</v>
      </c>
      <c r="E32" s="79"/>
      <c r="F32" s="132">
        <v>46037</v>
      </c>
      <c r="G32" s="190">
        <f>'Carvão &amp; Total'!M18</f>
        <v>654851.19121560012</v>
      </c>
      <c r="H32" s="79">
        <v>1</v>
      </c>
      <c r="I32" s="153">
        <f t="shared" si="13"/>
        <v>0</v>
      </c>
      <c r="J32" s="81">
        <f t="shared" si="14"/>
        <v>654851.19121560012</v>
      </c>
    </row>
    <row r="33" spans="2:10" x14ac:dyDescent="0.35">
      <c r="B33" s="99">
        <f t="shared" si="12"/>
        <v>1</v>
      </c>
      <c r="C33" s="99"/>
      <c r="D33" s="79"/>
      <c r="E33" s="79"/>
      <c r="F33" s="132"/>
      <c r="G33" s="151"/>
      <c r="H33" s="79"/>
      <c r="I33" s="153">
        <f>G33*(H33-1)</f>
        <v>0</v>
      </c>
      <c r="J33" s="81">
        <f>G33+I33</f>
        <v>0</v>
      </c>
    </row>
    <row r="34" spans="2:10" x14ac:dyDescent="0.35">
      <c r="B34" s="99">
        <f t="shared" si="12"/>
        <v>1</v>
      </c>
      <c r="C34" s="99"/>
      <c r="D34" s="79"/>
      <c r="E34" s="79"/>
      <c r="F34" s="132"/>
      <c r="G34" s="151"/>
      <c r="H34" s="79"/>
      <c r="I34" s="153">
        <f>G34*(H34-1)</f>
        <v>0</v>
      </c>
      <c r="J34" s="81">
        <f>G34+I34</f>
        <v>0</v>
      </c>
    </row>
    <row r="35" spans="2:10" x14ac:dyDescent="0.35">
      <c r="B35" s="99">
        <f t="shared" si="12"/>
        <v>1</v>
      </c>
      <c r="C35" s="99"/>
      <c r="D35" s="79"/>
      <c r="E35" s="79"/>
      <c r="F35" s="132"/>
      <c r="G35" s="151"/>
      <c r="H35" s="79"/>
      <c r="I35" s="153">
        <f t="shared" si="13"/>
        <v>0</v>
      </c>
      <c r="J35" s="81">
        <f>G35+I35</f>
        <v>0</v>
      </c>
    </row>
    <row r="36" spans="2:10" x14ac:dyDescent="0.35">
      <c r="B36" s="99">
        <f t="shared" si="12"/>
        <v>1</v>
      </c>
      <c r="C36" s="99"/>
      <c r="D36" s="79"/>
      <c r="E36" s="79"/>
      <c r="F36" s="132"/>
      <c r="G36" s="151"/>
      <c r="H36" s="79"/>
      <c r="I36" s="153">
        <f t="shared" si="13"/>
        <v>0</v>
      </c>
      <c r="J36" s="195">
        <f t="shared" si="14"/>
        <v>0</v>
      </c>
    </row>
    <row r="38" spans="2:10" x14ac:dyDescent="0.35">
      <c r="F38">
        <v>85010160.790000007</v>
      </c>
      <c r="G38" s="32">
        <v>0</v>
      </c>
      <c r="H38">
        <v>1084839.0862460115</v>
      </c>
    </row>
  </sheetData>
  <autoFilter ref="B6:J29" xr:uid="{00000000-0009-0000-0000-00000B000000}">
    <sortState xmlns:xlrd2="http://schemas.microsoft.com/office/spreadsheetml/2017/richdata2" ref="B7:J29">
      <sortCondition ref="C6:C29"/>
    </sortState>
  </autoFilter>
  <mergeCells count="4">
    <mergeCell ref="B1:O3"/>
    <mergeCell ref="B5:J5"/>
    <mergeCell ref="L5:O5"/>
    <mergeCell ref="Q5:T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O10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F2175-62A8-4645-BDF7-9D9DD1745657}">
  <sheetPr>
    <tabColor theme="7" tint="0.79998168889431442"/>
  </sheetPr>
  <dimension ref="B2:M90"/>
  <sheetViews>
    <sheetView showGridLines="0" zoomScale="70" zoomScaleNormal="70" workbookViewId="0">
      <selection activeCell="K17" sqref="K17:K20"/>
    </sheetView>
  </sheetViews>
  <sheetFormatPr defaultRowHeight="14.5" x14ac:dyDescent="0.35"/>
  <cols>
    <col min="2" max="2" width="14.36328125" customWidth="1"/>
    <col min="3" max="3" width="20.90625" bestFit="1" customWidth="1"/>
    <col min="4" max="4" width="13.7265625" customWidth="1"/>
    <col min="5" max="5" width="19.1796875" customWidth="1"/>
    <col min="6" max="6" width="20.453125" customWidth="1"/>
    <col min="7" max="7" width="18.81640625" customWidth="1"/>
    <col min="8" max="9" width="16.90625" customWidth="1"/>
    <col min="10" max="10" width="13.453125" customWidth="1"/>
    <col min="11" max="11" width="18.54296875" customWidth="1"/>
  </cols>
  <sheetData>
    <row r="2" spans="2:13" ht="38" customHeight="1" x14ac:dyDescent="0.8">
      <c r="F2" s="217" t="s">
        <v>332</v>
      </c>
      <c r="G2" s="217"/>
      <c r="H2" s="217"/>
      <c r="I2" s="218"/>
      <c r="J2" s="216"/>
      <c r="K2" s="216"/>
      <c r="L2" s="216"/>
      <c r="M2" s="216"/>
    </row>
    <row r="3" spans="2:13" ht="14.5" customHeight="1" x14ac:dyDescent="0.35">
      <c r="F3" s="216"/>
      <c r="G3" s="216"/>
      <c r="H3" s="216"/>
      <c r="I3" s="216"/>
      <c r="J3" s="216"/>
      <c r="K3" s="216"/>
      <c r="L3" s="216"/>
      <c r="M3" s="216"/>
    </row>
    <row r="4" spans="2:13" ht="34.5" customHeight="1" x14ac:dyDescent="0.35">
      <c r="F4" s="216"/>
      <c r="G4" s="216"/>
      <c r="H4" s="216"/>
      <c r="I4" s="216"/>
      <c r="J4" s="216"/>
      <c r="K4" s="216"/>
      <c r="L4" s="216"/>
      <c r="M4" s="216"/>
    </row>
    <row r="5" spans="2:13" ht="20" customHeight="1" x14ac:dyDescent="0.35">
      <c r="B5" s="261" t="s">
        <v>5</v>
      </c>
      <c r="C5" s="261"/>
      <c r="D5" s="261"/>
      <c r="E5" s="261"/>
      <c r="F5" s="261"/>
      <c r="G5" s="261"/>
      <c r="H5" s="261"/>
      <c r="I5" s="261"/>
      <c r="J5" s="261"/>
      <c r="K5" s="261"/>
    </row>
    <row r="6" spans="2:13" x14ac:dyDescent="0.35">
      <c r="B6" s="261" t="s">
        <v>3</v>
      </c>
      <c r="C6" s="261"/>
      <c r="D6" s="261"/>
      <c r="E6" s="261"/>
      <c r="F6" s="261"/>
      <c r="G6" s="261"/>
      <c r="H6" s="261"/>
      <c r="I6" s="261"/>
      <c r="J6" s="261"/>
      <c r="K6" s="261"/>
    </row>
    <row r="7" spans="2:13" ht="45.5" customHeight="1" x14ac:dyDescent="0.35">
      <c r="B7" s="74" t="s">
        <v>140</v>
      </c>
      <c r="C7" s="63" t="s">
        <v>139</v>
      </c>
      <c r="D7" s="63" t="s">
        <v>0</v>
      </c>
      <c r="E7" s="64" t="s">
        <v>1</v>
      </c>
      <c r="F7" s="63" t="s">
        <v>288</v>
      </c>
      <c r="G7" s="64" t="s">
        <v>7</v>
      </c>
      <c r="H7" s="63" t="s">
        <v>6</v>
      </c>
      <c r="I7" s="63" t="s">
        <v>290</v>
      </c>
      <c r="J7" s="63" t="s">
        <v>289</v>
      </c>
      <c r="K7" s="75" t="s">
        <v>13</v>
      </c>
    </row>
    <row r="8" spans="2:13" x14ac:dyDescent="0.35">
      <c r="B8" s="88">
        <v>45597</v>
      </c>
      <c r="C8" s="236">
        <v>4.3149195402298854</v>
      </c>
      <c r="D8" s="144">
        <v>4.1854999999999993</v>
      </c>
      <c r="E8" s="131">
        <v>4.1855000000000002</v>
      </c>
      <c r="F8" s="89">
        <f>F29*1000</f>
        <v>20203.319800932997</v>
      </c>
      <c r="G8" s="89">
        <f>E8*F8</f>
        <v>84560.99502680506</v>
      </c>
      <c r="H8" s="90">
        <v>0.9753503</v>
      </c>
      <c r="I8" s="89">
        <f t="shared" ref="I8:I12" si="0">G8*H8</f>
        <v>82476.591867692827</v>
      </c>
      <c r="J8" s="79">
        <v>1.0068083000000001</v>
      </c>
      <c r="K8" s="89">
        <f t="shared" ref="K8:K13" si="1">I8*J8</f>
        <v>83038.117248105642</v>
      </c>
      <c r="L8" s="21"/>
    </row>
    <row r="9" spans="2:13" x14ac:dyDescent="0.35">
      <c r="B9" s="88">
        <v>45658</v>
      </c>
      <c r="C9" s="236">
        <f>IFERROR(VLOOKUP(B9,'NF Diesel'!$T$6:$Z$18,2,0),0)</f>
        <v>4.4165000000000001</v>
      </c>
      <c r="D9" s="144">
        <f>'ANP Diesel'!K9</f>
        <v>4.3164999999999996</v>
      </c>
      <c r="E9" s="131">
        <f>MIN(C9,D9)</f>
        <v>4.3164999999999996</v>
      </c>
      <c r="F9" s="89">
        <f>F34*1000</f>
        <v>191953.09190386059</v>
      </c>
      <c r="G9" s="89">
        <f t="shared" ref="G9:G14" si="2">(E9*F9)</f>
        <v>828565.52120301418</v>
      </c>
      <c r="H9" s="90">
        <f>Parâmetros!$D$6</f>
        <v>0.95379800000000003</v>
      </c>
      <c r="I9" s="89">
        <f t="shared" si="0"/>
        <v>790284.1369923926</v>
      </c>
      <c r="J9" s="79">
        <v>1</v>
      </c>
      <c r="K9" s="89">
        <f t="shared" si="1"/>
        <v>790284.1369923926</v>
      </c>
      <c r="L9" s="21"/>
    </row>
    <row r="10" spans="2:13" x14ac:dyDescent="0.35">
      <c r="B10" s="88">
        <v>45690</v>
      </c>
      <c r="C10" s="236">
        <v>4.6381499999999996</v>
      </c>
      <c r="D10" s="144">
        <v>4.3029999999999999</v>
      </c>
      <c r="E10" s="131">
        <v>4.3029999999999999</v>
      </c>
      <c r="F10" s="89">
        <v>0</v>
      </c>
      <c r="G10" s="89">
        <f t="shared" si="2"/>
        <v>0</v>
      </c>
      <c r="H10" s="90">
        <f>Parâmetros!$D$6</f>
        <v>0.95379800000000003</v>
      </c>
      <c r="I10" s="89">
        <f t="shared" si="0"/>
        <v>0</v>
      </c>
      <c r="J10" s="79">
        <v>1</v>
      </c>
      <c r="K10" s="89">
        <f t="shared" si="1"/>
        <v>0</v>
      </c>
    </row>
    <row r="11" spans="2:13" x14ac:dyDescent="0.35">
      <c r="B11" s="88">
        <v>45717</v>
      </c>
      <c r="C11" s="236">
        <v>4.6099000000000006</v>
      </c>
      <c r="D11" s="144">
        <v>4.5389999999999997</v>
      </c>
      <c r="E11" s="131">
        <v>4.5389999999999997</v>
      </c>
      <c r="F11" s="89">
        <f>F44*1000</f>
        <v>145927.51021092717</v>
      </c>
      <c r="G11" s="89">
        <f t="shared" si="2"/>
        <v>662364.96884739841</v>
      </c>
      <c r="H11" s="90">
        <f>Parâmetros!$D$6</f>
        <v>0.95379800000000003</v>
      </c>
      <c r="I11" s="89">
        <f t="shared" si="0"/>
        <v>631762.38255671097</v>
      </c>
      <c r="J11" s="79">
        <v>1</v>
      </c>
      <c r="K11" s="89">
        <f t="shared" si="1"/>
        <v>631762.38255671097</v>
      </c>
    </row>
    <row r="12" spans="2:13" x14ac:dyDescent="0.35">
      <c r="B12" s="88">
        <v>45748</v>
      </c>
      <c r="C12" s="236">
        <v>4.46</v>
      </c>
      <c r="D12" s="144">
        <v>4.484</v>
      </c>
      <c r="E12" s="131">
        <v>4.46</v>
      </c>
      <c r="F12" s="89">
        <f>F49*1000</f>
        <v>1394.8651124296398</v>
      </c>
      <c r="G12" s="89">
        <f t="shared" si="2"/>
        <v>6221.0984014361939</v>
      </c>
      <c r="H12" s="90">
        <f>Parâmetros!$D$6</f>
        <v>0.95379800000000003</v>
      </c>
      <c r="I12" s="89">
        <f t="shared" si="0"/>
        <v>5933.6712130930391</v>
      </c>
      <c r="J12" s="232">
        <v>1</v>
      </c>
      <c r="K12" s="89">
        <f t="shared" si="1"/>
        <v>5933.6712130930391</v>
      </c>
    </row>
    <row r="13" spans="2:13" x14ac:dyDescent="0.35">
      <c r="B13" s="88">
        <v>45779</v>
      </c>
      <c r="C13" s="236">
        <v>4.21</v>
      </c>
      <c r="D13" s="144">
        <v>4.2610000000000001</v>
      </c>
      <c r="E13" s="131">
        <v>4.21</v>
      </c>
      <c r="F13" s="89">
        <f>F54*1000</f>
        <v>90864.767308689581</v>
      </c>
      <c r="G13" s="89">
        <f t="shared" si="2"/>
        <v>382540.67036958312</v>
      </c>
      <c r="H13" s="90">
        <f>Parâmetros!$D$6</f>
        <v>0.95379800000000003</v>
      </c>
      <c r="I13" s="89">
        <f>G13*H13</f>
        <v>364866.52631716768</v>
      </c>
      <c r="J13" s="232">
        <v>1</v>
      </c>
      <c r="K13" s="89">
        <f t="shared" si="1"/>
        <v>364866.52631716768</v>
      </c>
    </row>
    <row r="14" spans="2:13" x14ac:dyDescent="0.35">
      <c r="B14" s="88">
        <v>45811</v>
      </c>
      <c r="C14" s="236">
        <v>4.21</v>
      </c>
      <c r="D14" s="144">
        <v>4.0510000000000002</v>
      </c>
      <c r="E14" s="131">
        <v>4.0510000000000002</v>
      </c>
      <c r="F14" s="89">
        <f>435.925991688267*1000</f>
        <v>435925.99168826698</v>
      </c>
      <c r="G14" s="89">
        <f t="shared" si="2"/>
        <v>1765936.1923291695</v>
      </c>
      <c r="H14" s="90">
        <f>Parâmetros!$D$6</f>
        <v>0.95379800000000003</v>
      </c>
      <c r="I14" s="89">
        <f>G14*H14</f>
        <v>1684346.4083711773</v>
      </c>
      <c r="J14" s="232">
        <v>1</v>
      </c>
      <c r="K14" s="89">
        <f>I14*J14</f>
        <v>1684346.4083711773</v>
      </c>
    </row>
    <row r="15" spans="2:13" x14ac:dyDescent="0.35">
      <c r="B15" s="88">
        <v>45839</v>
      </c>
      <c r="C15" s="236">
        <f>Secund!M14</f>
        <v>4.21</v>
      </c>
      <c r="D15" s="144">
        <f>Secund!N14</f>
        <v>4.0510000000000002</v>
      </c>
      <c r="E15" s="131">
        <f>Secund!O14</f>
        <v>4.0510000000000002</v>
      </c>
      <c r="F15" s="89">
        <f>F64*1000</f>
        <v>269354.93866775039</v>
      </c>
      <c r="G15" s="89">
        <f>(E15*F15)</f>
        <v>1091156.8565430569</v>
      </c>
      <c r="H15" s="90">
        <f>Parâmetros!$D$6</f>
        <v>0.95379800000000003</v>
      </c>
      <c r="I15" s="89">
        <f>G15*H15</f>
        <v>1040743.2274570547</v>
      </c>
      <c r="J15" s="232">
        <v>1</v>
      </c>
      <c r="K15" s="89">
        <f>I15*J15</f>
        <v>1040743.2274570547</v>
      </c>
    </row>
    <row r="16" spans="2:13" x14ac:dyDescent="0.35">
      <c r="B16" s="88">
        <v>45870</v>
      </c>
      <c r="C16" s="236">
        <f>Secund!M15</f>
        <v>4.1715499999999999</v>
      </c>
      <c r="D16" s="144">
        <f>Secund!N15</f>
        <v>4.0549999999999997</v>
      </c>
      <c r="E16" s="131">
        <f>Secund!O15</f>
        <v>4.0549999999999997</v>
      </c>
      <c r="F16" s="89">
        <f>F69*1000</f>
        <v>70580</v>
      </c>
      <c r="G16" s="89">
        <f>(E16*F16)</f>
        <v>286201.89999999997</v>
      </c>
      <c r="H16" s="90">
        <f>Parâmetros!$D$6</f>
        <v>0.95379800000000003</v>
      </c>
      <c r="I16" s="89">
        <f>G16*H16</f>
        <v>272978.79981619999</v>
      </c>
      <c r="J16" s="232">
        <v>1</v>
      </c>
      <c r="K16" s="89">
        <f>I16*J16</f>
        <v>272978.79981619999</v>
      </c>
    </row>
    <row r="17" spans="2:11" x14ac:dyDescent="0.35">
      <c r="B17" s="88">
        <v>45901</v>
      </c>
      <c r="C17" s="236">
        <f>Secund!M16</f>
        <v>4.1715503875968993</v>
      </c>
      <c r="D17" s="144">
        <f>Secund!N16</f>
        <v>4.0549999999999997</v>
      </c>
      <c r="E17" s="131">
        <f>Secund!O16</f>
        <v>4.0549999999999997</v>
      </c>
      <c r="F17" s="89">
        <f>F74*1000</f>
        <v>0</v>
      </c>
      <c r="G17" s="89">
        <f t="shared" ref="G17:G20" si="3">(E17*F17)</f>
        <v>0</v>
      </c>
      <c r="H17" s="90">
        <f>Parâmetros!$D$6</f>
        <v>0.95379800000000003</v>
      </c>
      <c r="I17" s="89">
        <f>G17*H17</f>
        <v>0</v>
      </c>
      <c r="J17" s="232">
        <v>1</v>
      </c>
      <c r="K17" s="89">
        <f>I17*J17</f>
        <v>0</v>
      </c>
    </row>
    <row r="18" spans="2:11" x14ac:dyDescent="0.35">
      <c r="B18" s="88">
        <v>45931</v>
      </c>
      <c r="C18" s="236">
        <v>4.18</v>
      </c>
      <c r="D18" s="144">
        <v>4.1150000000000002</v>
      </c>
      <c r="E18" s="131">
        <f>D18</f>
        <v>4.1150000000000002</v>
      </c>
      <c r="F18" s="89">
        <v>0</v>
      </c>
      <c r="G18" s="89">
        <f t="shared" si="3"/>
        <v>0</v>
      </c>
      <c r="H18" s="90">
        <f>Parâmetros!$D$6</f>
        <v>0.95379800000000003</v>
      </c>
      <c r="I18" s="89">
        <f>G18*H18</f>
        <v>0</v>
      </c>
      <c r="J18" s="232">
        <v>1</v>
      </c>
      <c r="K18" s="89">
        <f t="shared" ref="K18:K20" si="4">I18*J18</f>
        <v>0</v>
      </c>
    </row>
    <row r="19" spans="2:11" x14ac:dyDescent="0.35">
      <c r="B19" s="88">
        <v>45962</v>
      </c>
      <c r="C19" s="236">
        <v>4.18037052631579</v>
      </c>
      <c r="D19" s="144">
        <v>4.1150000000000002</v>
      </c>
      <c r="E19" s="131">
        <f>D19</f>
        <v>4.1150000000000002</v>
      </c>
      <c r="F19" s="89">
        <v>0</v>
      </c>
      <c r="G19" s="89">
        <f t="shared" si="3"/>
        <v>0</v>
      </c>
      <c r="H19" s="90">
        <f>Parâmetros!$D$6</f>
        <v>0.95379800000000003</v>
      </c>
      <c r="I19" s="89">
        <f>G19*H19</f>
        <v>0</v>
      </c>
      <c r="J19" s="232">
        <v>1</v>
      </c>
      <c r="K19" s="89">
        <f t="shared" si="4"/>
        <v>0</v>
      </c>
    </row>
    <row r="20" spans="2:11" x14ac:dyDescent="0.35">
      <c r="B20" s="88">
        <v>45992</v>
      </c>
      <c r="C20" s="236">
        <v>4.18</v>
      </c>
      <c r="D20" s="144">
        <v>4.1310000000000002</v>
      </c>
      <c r="E20" s="131">
        <f>D20</f>
        <v>4.1310000000000002</v>
      </c>
      <c r="F20" s="89">
        <f>F89</f>
        <v>0.76</v>
      </c>
      <c r="G20" s="89">
        <f t="shared" si="3"/>
        <v>3.1395600000000004</v>
      </c>
      <c r="H20" s="90">
        <f>Parâmetros!$D$6</f>
        <v>0.95379800000000003</v>
      </c>
      <c r="I20" s="89">
        <f>G20*H20</f>
        <v>2.9945060488800004</v>
      </c>
      <c r="J20" s="232">
        <v>1</v>
      </c>
      <c r="K20" s="89">
        <f t="shared" si="4"/>
        <v>2.9945060488800004</v>
      </c>
    </row>
    <row r="21" spans="2:11" x14ac:dyDescent="0.35">
      <c r="B21" s="237"/>
      <c r="C21" s="238"/>
      <c r="D21" s="239"/>
      <c r="E21" s="240"/>
      <c r="F21" s="241"/>
      <c r="G21" s="241"/>
      <c r="H21" s="242"/>
      <c r="I21" s="241"/>
      <c r="J21" s="243"/>
      <c r="K21" s="241"/>
    </row>
    <row r="23" spans="2:11" ht="17.5" customHeight="1" x14ac:dyDescent="0.35">
      <c r="B23" s="261" t="s">
        <v>332</v>
      </c>
      <c r="C23" s="261"/>
      <c r="D23" s="261"/>
      <c r="E23" s="261"/>
      <c r="F23" s="261"/>
      <c r="G23" s="261"/>
    </row>
    <row r="24" spans="2:11" ht="45" customHeight="1" x14ac:dyDescent="0.35">
      <c r="B24" s="74" t="s">
        <v>77</v>
      </c>
      <c r="C24" s="74" t="s">
        <v>229</v>
      </c>
      <c r="D24" s="74" t="s">
        <v>81</v>
      </c>
      <c r="E24" s="215" t="s">
        <v>283</v>
      </c>
      <c r="F24" s="215" t="s">
        <v>284</v>
      </c>
      <c r="G24" s="215" t="s">
        <v>285</v>
      </c>
    </row>
    <row r="25" spans="2:11" x14ac:dyDescent="0.35">
      <c r="B25" s="160">
        <v>45597</v>
      </c>
      <c r="C25" s="160" t="s">
        <v>230</v>
      </c>
      <c r="D25" s="161" t="s">
        <v>82</v>
      </c>
      <c r="E25" s="162"/>
      <c r="F25" s="162"/>
      <c r="G25" s="162"/>
    </row>
    <row r="26" spans="2:11" x14ac:dyDescent="0.35">
      <c r="B26" s="163"/>
      <c r="C26" s="163" t="s">
        <v>230</v>
      </c>
      <c r="D26" s="164" t="s">
        <v>83</v>
      </c>
      <c r="E26" s="77">
        <v>1783.2082778584963</v>
      </c>
      <c r="F26" s="77">
        <v>8.5766602398722753</v>
      </c>
      <c r="G26" s="164"/>
    </row>
    <row r="27" spans="2:11" x14ac:dyDescent="0.35">
      <c r="B27" s="163"/>
      <c r="C27" s="163" t="s">
        <v>231</v>
      </c>
      <c r="D27" s="164" t="s">
        <v>84</v>
      </c>
      <c r="E27" s="77">
        <v>11586.461796395575</v>
      </c>
      <c r="F27" s="77">
        <v>6.0450638723652439</v>
      </c>
      <c r="G27" s="164"/>
    </row>
    <row r="28" spans="2:11" x14ac:dyDescent="0.35">
      <c r="B28" s="99"/>
      <c r="C28" s="99" t="s">
        <v>232</v>
      </c>
      <c r="D28" s="79" t="s">
        <v>85</v>
      </c>
      <c r="E28" s="167">
        <v>17376.986381102015</v>
      </c>
      <c r="F28" s="167">
        <v>5.5815956886954785</v>
      </c>
      <c r="G28" s="79"/>
    </row>
    <row r="29" spans="2:11" ht="15" thickBot="1" x14ac:dyDescent="0.4">
      <c r="B29" s="165">
        <v>45597</v>
      </c>
      <c r="C29" s="165"/>
      <c r="D29" s="166" t="s">
        <v>89</v>
      </c>
      <c r="E29" s="219">
        <f t="shared" ref="E29:F29" si="5">SUM(E25:E28)</f>
        <v>30746.656455356086</v>
      </c>
      <c r="F29" s="219">
        <f t="shared" si="5"/>
        <v>20.203319800932999</v>
      </c>
      <c r="G29" s="166">
        <f>SUM(G25:G28)</f>
        <v>0</v>
      </c>
    </row>
    <row r="30" spans="2:11" ht="15" thickTop="1" x14ac:dyDescent="0.35">
      <c r="B30" s="160">
        <v>45658</v>
      </c>
      <c r="C30" s="160" t="s">
        <v>230</v>
      </c>
      <c r="D30" s="161" t="s">
        <v>82</v>
      </c>
      <c r="E30" s="220"/>
      <c r="F30" s="220"/>
      <c r="G30" s="162"/>
    </row>
    <row r="31" spans="2:11" x14ac:dyDescent="0.35">
      <c r="B31" s="163"/>
      <c r="C31" s="163" t="s">
        <v>230</v>
      </c>
      <c r="D31" s="164" t="s">
        <v>83</v>
      </c>
      <c r="E31" s="77">
        <v>14222.857270281695</v>
      </c>
      <c r="F31" s="77">
        <v>91.178080863283327</v>
      </c>
      <c r="G31" s="164"/>
    </row>
    <row r="32" spans="2:11" x14ac:dyDescent="0.35">
      <c r="B32" s="163"/>
      <c r="C32" s="163" t="s">
        <v>231</v>
      </c>
      <c r="D32" s="164" t="s">
        <v>84</v>
      </c>
      <c r="E32" s="77">
        <v>31198.443110825032</v>
      </c>
      <c r="F32" s="77">
        <v>85.487363181074727</v>
      </c>
      <c r="G32" s="164"/>
    </row>
    <row r="33" spans="2:7" x14ac:dyDescent="0.35">
      <c r="B33" s="99"/>
      <c r="C33" s="99" t="s">
        <v>232</v>
      </c>
      <c r="D33" s="79" t="s">
        <v>85</v>
      </c>
      <c r="E33" s="167">
        <v>13396.64692545772</v>
      </c>
      <c r="F33" s="167">
        <v>15.287647859502526</v>
      </c>
      <c r="G33" s="79"/>
    </row>
    <row r="34" spans="2:7" ht="15" thickBot="1" x14ac:dyDescent="0.4">
      <c r="B34" s="165">
        <v>45688</v>
      </c>
      <c r="C34" s="165"/>
      <c r="D34" s="166" t="s">
        <v>89</v>
      </c>
      <c r="E34" s="219">
        <f>SUM(E30:E33)</f>
        <v>58817.947306564442</v>
      </c>
      <c r="F34" s="219">
        <f t="shared" ref="F34" si="6">SUM(F30:F33)</f>
        <v>191.95309190386058</v>
      </c>
      <c r="G34" s="166">
        <f t="shared" ref="G34" si="7">SUM(G30:G33)</f>
        <v>0</v>
      </c>
    </row>
    <row r="35" spans="2:7" ht="15" thickTop="1" x14ac:dyDescent="0.35">
      <c r="B35" s="160">
        <v>45689</v>
      </c>
      <c r="C35" s="160" t="s">
        <v>230</v>
      </c>
      <c r="D35" s="161" t="s">
        <v>82</v>
      </c>
      <c r="E35" s="220"/>
      <c r="F35" s="220"/>
      <c r="G35" s="162"/>
    </row>
    <row r="36" spans="2:7" x14ac:dyDescent="0.35">
      <c r="B36" s="163"/>
      <c r="C36" s="163" t="s">
        <v>230</v>
      </c>
      <c r="D36" s="164" t="s">
        <v>83</v>
      </c>
      <c r="E36" s="77"/>
      <c r="F36" s="77"/>
      <c r="G36" s="164">
        <v>0</v>
      </c>
    </row>
    <row r="37" spans="2:7" x14ac:dyDescent="0.35">
      <c r="B37" s="163"/>
      <c r="C37" s="163" t="s">
        <v>231</v>
      </c>
      <c r="D37" s="164" t="s">
        <v>84</v>
      </c>
      <c r="E37" s="77"/>
      <c r="F37" s="77"/>
      <c r="G37" s="164">
        <v>0</v>
      </c>
    </row>
    <row r="38" spans="2:7" x14ac:dyDescent="0.35">
      <c r="B38" s="163"/>
      <c r="C38" s="99" t="s">
        <v>232</v>
      </c>
      <c r="D38" s="79" t="s">
        <v>85</v>
      </c>
      <c r="E38" s="167"/>
      <c r="F38" s="167"/>
      <c r="G38" s="79">
        <v>0</v>
      </c>
    </row>
    <row r="39" spans="2:7" ht="15" thickBot="1" x14ac:dyDescent="0.4">
      <c r="B39" s="165">
        <v>45689</v>
      </c>
      <c r="C39" s="165"/>
      <c r="D39" s="166" t="s">
        <v>89</v>
      </c>
      <c r="E39" s="219">
        <f>SUM(E35:E38)</f>
        <v>0</v>
      </c>
      <c r="F39" s="219">
        <f t="shared" ref="F39:G39" si="8">SUM(F35:F38)</f>
        <v>0</v>
      </c>
      <c r="G39" s="219">
        <f t="shared" si="8"/>
        <v>0</v>
      </c>
    </row>
    <row r="40" spans="2:7" ht="15" thickTop="1" x14ac:dyDescent="0.35">
      <c r="B40" s="160">
        <v>45717</v>
      </c>
      <c r="C40" s="160" t="s">
        <v>230</v>
      </c>
      <c r="D40" s="161" t="s">
        <v>82</v>
      </c>
      <c r="E40" s="220"/>
      <c r="F40" s="220"/>
      <c r="G40" s="162"/>
    </row>
    <row r="41" spans="2:7" x14ac:dyDescent="0.35">
      <c r="B41" s="163"/>
      <c r="C41" s="163" t="s">
        <v>230</v>
      </c>
      <c r="D41" s="164" t="s">
        <v>83</v>
      </c>
      <c r="E41" s="77">
        <v>21796.312990645412</v>
      </c>
      <c r="F41" s="77">
        <v>102.08248408098363</v>
      </c>
      <c r="G41" s="164">
        <v>0</v>
      </c>
    </row>
    <row r="42" spans="2:7" x14ac:dyDescent="0.35">
      <c r="B42" s="163"/>
      <c r="C42" s="163" t="s">
        <v>231</v>
      </c>
      <c r="D42" s="164" t="s">
        <v>84</v>
      </c>
      <c r="E42" s="77">
        <v>11393.753834826528</v>
      </c>
      <c r="F42" s="77">
        <v>5.4706139826487821</v>
      </c>
      <c r="G42" s="164">
        <v>0</v>
      </c>
    </row>
    <row r="43" spans="2:7" x14ac:dyDescent="0.35">
      <c r="B43" s="163"/>
      <c r="C43" s="99" t="s">
        <v>232</v>
      </c>
      <c r="D43" s="79" t="s">
        <v>85</v>
      </c>
      <c r="E43" s="167">
        <v>20369.468398684607</v>
      </c>
      <c r="F43" s="167">
        <v>38.37441214729477</v>
      </c>
      <c r="G43" s="79">
        <v>0</v>
      </c>
    </row>
    <row r="44" spans="2:7" ht="15" thickBot="1" x14ac:dyDescent="0.4">
      <c r="B44" s="165">
        <v>45717</v>
      </c>
      <c r="C44" s="165"/>
      <c r="D44" s="166" t="s">
        <v>89</v>
      </c>
      <c r="E44" s="219">
        <f>SUM(E40:E43)</f>
        <v>53559.535224156549</v>
      </c>
      <c r="F44" s="219">
        <f t="shared" ref="F44:G44" si="9">SUM(F40:F43)</f>
        <v>145.92751021092718</v>
      </c>
      <c r="G44" s="219">
        <f t="shared" si="9"/>
        <v>0</v>
      </c>
    </row>
    <row r="45" spans="2:7" ht="15" thickTop="1" x14ac:dyDescent="0.35">
      <c r="B45" s="160">
        <v>45748</v>
      </c>
      <c r="C45" s="160" t="s">
        <v>230</v>
      </c>
      <c r="D45" s="161" t="s">
        <v>82</v>
      </c>
      <c r="E45" s="220"/>
      <c r="F45" s="220"/>
      <c r="G45" s="162"/>
    </row>
    <row r="46" spans="2:7" x14ac:dyDescent="0.35">
      <c r="B46" s="163"/>
      <c r="C46" s="163" t="s">
        <v>230</v>
      </c>
      <c r="D46" s="164" t="s">
        <v>83</v>
      </c>
      <c r="E46" s="77"/>
      <c r="F46" s="77"/>
      <c r="G46" s="164">
        <v>0</v>
      </c>
    </row>
    <row r="47" spans="2:7" x14ac:dyDescent="0.35">
      <c r="B47" s="163"/>
      <c r="C47" s="163" t="s">
        <v>231</v>
      </c>
      <c r="D47" s="164" t="s">
        <v>84</v>
      </c>
      <c r="E47" s="77"/>
      <c r="F47" s="77"/>
      <c r="G47" s="164">
        <v>0</v>
      </c>
    </row>
    <row r="48" spans="2:7" x14ac:dyDescent="0.35">
      <c r="B48" s="163"/>
      <c r="C48" s="99" t="s">
        <v>232</v>
      </c>
      <c r="D48" s="79" t="s">
        <v>85</v>
      </c>
      <c r="E48" s="167">
        <v>3463.7489419579924</v>
      </c>
      <c r="F48" s="167">
        <v>1.3948651124296398</v>
      </c>
      <c r="G48" s="79">
        <v>0</v>
      </c>
    </row>
    <row r="49" spans="2:7" ht="15" thickBot="1" x14ac:dyDescent="0.4">
      <c r="B49" s="165">
        <v>45748</v>
      </c>
      <c r="C49" s="165"/>
      <c r="D49" s="166" t="s">
        <v>89</v>
      </c>
      <c r="E49" s="219">
        <f>SUM(E45:E48)</f>
        <v>3463.7489419579924</v>
      </c>
      <c r="F49" s="219">
        <f>SUM(F45:F48)</f>
        <v>1.3948651124296398</v>
      </c>
      <c r="G49" s="219">
        <f t="shared" ref="G49" si="10">SUM(G45:G48)</f>
        <v>0</v>
      </c>
    </row>
    <row r="50" spans="2:7" ht="15" thickTop="1" x14ac:dyDescent="0.35">
      <c r="B50" s="160">
        <v>45778</v>
      </c>
      <c r="C50" s="160" t="s">
        <v>230</v>
      </c>
      <c r="D50" s="161" t="s">
        <v>82</v>
      </c>
      <c r="E50" s="220"/>
      <c r="F50" s="220"/>
      <c r="G50" s="162"/>
    </row>
    <row r="51" spans="2:7" x14ac:dyDescent="0.35">
      <c r="B51" s="163"/>
      <c r="C51" s="163" t="s">
        <v>230</v>
      </c>
      <c r="D51" s="164" t="s">
        <v>83</v>
      </c>
      <c r="E51" s="77">
        <v>2834.0983410871422</v>
      </c>
      <c r="F51" s="77">
        <v>23.04287509546613</v>
      </c>
      <c r="G51" s="164">
        <v>0</v>
      </c>
    </row>
    <row r="52" spans="2:7" x14ac:dyDescent="0.35">
      <c r="B52" s="163"/>
      <c r="C52" s="163" t="s">
        <v>231</v>
      </c>
      <c r="D52" s="164" t="s">
        <v>84</v>
      </c>
      <c r="E52" s="77">
        <v>4196.592032611823</v>
      </c>
      <c r="F52" s="77">
        <v>53.123564904046106</v>
      </c>
      <c r="G52" s="164">
        <v>0</v>
      </c>
    </row>
    <row r="53" spans="2:7" x14ac:dyDescent="0.35">
      <c r="B53" s="163"/>
      <c r="C53" s="99" t="s">
        <v>232</v>
      </c>
      <c r="D53" s="79" t="s">
        <v>85</v>
      </c>
      <c r="E53" s="167">
        <v>16232.481653277195</v>
      </c>
      <c r="F53" s="167">
        <v>14.698327309177341</v>
      </c>
      <c r="G53" s="79">
        <v>0</v>
      </c>
    </row>
    <row r="54" spans="2:7" ht="15" thickBot="1" x14ac:dyDescent="0.4">
      <c r="B54" s="165">
        <v>45778</v>
      </c>
      <c r="C54" s="165"/>
      <c r="D54" s="166" t="s">
        <v>89</v>
      </c>
      <c r="E54" s="219">
        <f>SUM(E50:E53)</f>
        <v>23263.172026976161</v>
      </c>
      <c r="F54" s="219">
        <f t="shared" ref="F54:G54" si="11">SUM(F50:F53)</f>
        <v>90.864767308689579</v>
      </c>
      <c r="G54" s="219">
        <f t="shared" si="11"/>
        <v>0</v>
      </c>
    </row>
    <row r="55" spans="2:7" ht="15" thickTop="1" x14ac:dyDescent="0.35">
      <c r="B55" s="160">
        <v>45809</v>
      </c>
      <c r="C55" s="160" t="s">
        <v>230</v>
      </c>
      <c r="D55" s="161" t="s">
        <v>82</v>
      </c>
      <c r="E55" s="220"/>
      <c r="F55" s="220"/>
      <c r="G55" s="162"/>
    </row>
    <row r="56" spans="2:7" x14ac:dyDescent="0.35">
      <c r="B56" s="163"/>
      <c r="C56" s="163" t="s">
        <v>230</v>
      </c>
      <c r="D56" s="164" t="s">
        <v>83</v>
      </c>
      <c r="E56" s="77"/>
      <c r="F56" s="77">
        <v>152.75937348942443</v>
      </c>
      <c r="G56" s="164">
        <v>0</v>
      </c>
    </row>
    <row r="57" spans="2:7" x14ac:dyDescent="0.35">
      <c r="B57" s="163"/>
      <c r="C57" s="163" t="s">
        <v>231</v>
      </c>
      <c r="D57" s="164" t="s">
        <v>84</v>
      </c>
      <c r="E57" s="77"/>
      <c r="F57" s="77">
        <v>253.64355139581474</v>
      </c>
      <c r="G57" s="164">
        <v>0</v>
      </c>
    </row>
    <row r="58" spans="2:7" x14ac:dyDescent="0.35">
      <c r="B58" s="163"/>
      <c r="C58" s="99" t="s">
        <v>232</v>
      </c>
      <c r="D58" s="79" t="s">
        <v>85</v>
      </c>
      <c r="E58" s="167"/>
      <c r="F58" s="167">
        <v>29.52306680302808</v>
      </c>
      <c r="G58" s="79">
        <v>0</v>
      </c>
    </row>
    <row r="59" spans="2:7" ht="15" thickBot="1" x14ac:dyDescent="0.4">
      <c r="B59" s="165">
        <v>45809</v>
      </c>
      <c r="C59" s="165"/>
      <c r="D59" s="166" t="s">
        <v>89</v>
      </c>
      <c r="E59" s="219">
        <f>SUM(E55:E58)</f>
        <v>0</v>
      </c>
      <c r="F59" s="219">
        <f t="shared" ref="F59:G59" si="12">SUM(F55:F58)</f>
        <v>435.92599168826723</v>
      </c>
      <c r="G59" s="219">
        <f t="shared" si="12"/>
        <v>0</v>
      </c>
    </row>
    <row r="60" spans="2:7" ht="15" thickTop="1" x14ac:dyDescent="0.35">
      <c r="B60" s="160">
        <v>45839</v>
      </c>
      <c r="C60" s="160" t="s">
        <v>230</v>
      </c>
      <c r="D60" s="161" t="s">
        <v>82</v>
      </c>
      <c r="E60" s="220"/>
      <c r="F60" s="220"/>
      <c r="G60" s="162"/>
    </row>
    <row r="61" spans="2:7" x14ac:dyDescent="0.35">
      <c r="B61" s="163"/>
      <c r="C61" s="163" t="s">
        <v>230</v>
      </c>
      <c r="D61" s="164" t="s">
        <v>83</v>
      </c>
      <c r="E61" s="220">
        <v>74000.986862108388</v>
      </c>
      <c r="F61" s="77">
        <v>174.21640520209547</v>
      </c>
      <c r="G61" s="164">
        <v>0</v>
      </c>
    </row>
    <row r="62" spans="2:7" x14ac:dyDescent="0.35">
      <c r="B62" s="163"/>
      <c r="C62" s="163" t="s">
        <v>231</v>
      </c>
      <c r="D62" s="164" t="s">
        <v>84</v>
      </c>
      <c r="E62" s="77">
        <v>99688.915672228337</v>
      </c>
      <c r="F62" s="77">
        <v>29.269558653324147</v>
      </c>
      <c r="G62" s="164">
        <v>0</v>
      </c>
    </row>
    <row r="63" spans="2:7" x14ac:dyDescent="0.35">
      <c r="B63" s="163"/>
      <c r="C63" s="99" t="s">
        <v>232</v>
      </c>
      <c r="D63" s="79" t="s">
        <v>85</v>
      </c>
      <c r="E63" s="77">
        <v>106228.69210643166</v>
      </c>
      <c r="F63" s="167">
        <v>65.868974812330791</v>
      </c>
      <c r="G63" s="79">
        <v>0</v>
      </c>
    </row>
    <row r="64" spans="2:7" ht="15" thickBot="1" x14ac:dyDescent="0.4">
      <c r="B64" s="165">
        <v>45839</v>
      </c>
      <c r="C64" s="165"/>
      <c r="D64" s="166" t="s">
        <v>89</v>
      </c>
      <c r="E64" s="219">
        <f>SUM(E60:E63)</f>
        <v>279918.59464076837</v>
      </c>
      <c r="F64" s="219">
        <f t="shared" ref="F64:G64" si="13">SUM(F60:F63)</f>
        <v>269.35493866775039</v>
      </c>
      <c r="G64" s="219">
        <f t="shared" si="13"/>
        <v>0</v>
      </c>
    </row>
    <row r="65" spans="2:7" ht="15" thickTop="1" x14ac:dyDescent="0.35">
      <c r="B65" s="160">
        <v>45870</v>
      </c>
      <c r="C65" s="160" t="s">
        <v>230</v>
      </c>
      <c r="D65" s="161" t="s">
        <v>82</v>
      </c>
      <c r="E65" s="220"/>
      <c r="F65" s="220"/>
      <c r="G65" s="162"/>
    </row>
    <row r="66" spans="2:7" x14ac:dyDescent="0.35">
      <c r="B66" s="163"/>
      <c r="C66" s="163" t="s">
        <v>230</v>
      </c>
      <c r="D66" s="164" t="s">
        <v>83</v>
      </c>
      <c r="E66" s="220">
        <v>28358.58</v>
      </c>
      <c r="F66" s="77">
        <v>27.52</v>
      </c>
      <c r="G66" s="164">
        <v>0</v>
      </c>
    </row>
    <row r="67" spans="2:7" x14ac:dyDescent="0.35">
      <c r="B67" s="163"/>
      <c r="C67" s="163" t="s">
        <v>231</v>
      </c>
      <c r="D67" s="164" t="s">
        <v>84</v>
      </c>
      <c r="E67" s="77">
        <v>38054.29</v>
      </c>
      <c r="F67" s="77">
        <v>28.58</v>
      </c>
      <c r="G67" s="164">
        <v>0</v>
      </c>
    </row>
    <row r="68" spans="2:7" x14ac:dyDescent="0.35">
      <c r="B68" s="163"/>
      <c r="C68" s="99" t="s">
        <v>232</v>
      </c>
      <c r="D68" s="79" t="s">
        <v>85</v>
      </c>
      <c r="E68" s="77">
        <v>21695.71</v>
      </c>
      <c r="F68" s="167">
        <v>14.48</v>
      </c>
      <c r="G68" s="79">
        <v>0</v>
      </c>
    </row>
    <row r="69" spans="2:7" ht="15" thickBot="1" x14ac:dyDescent="0.4">
      <c r="B69" s="165">
        <v>45870</v>
      </c>
      <c r="C69" s="165"/>
      <c r="D69" s="166" t="s">
        <v>89</v>
      </c>
      <c r="E69" s="219">
        <f>SUM(E65:E68)</f>
        <v>88108.579999999987</v>
      </c>
      <c r="F69" s="219">
        <f>SUM(F65:F68)</f>
        <v>70.58</v>
      </c>
      <c r="G69" s="219">
        <f t="shared" ref="G69" si="14">SUM(G65:G68)</f>
        <v>0</v>
      </c>
    </row>
    <row r="70" spans="2:7" ht="15" thickTop="1" x14ac:dyDescent="0.35">
      <c r="B70" s="160">
        <v>45901</v>
      </c>
      <c r="C70" s="160" t="s">
        <v>230</v>
      </c>
      <c r="D70" s="161" t="s">
        <v>82</v>
      </c>
      <c r="E70" s="220"/>
      <c r="F70" s="220"/>
      <c r="G70" s="162"/>
    </row>
    <row r="71" spans="2:7" x14ac:dyDescent="0.35">
      <c r="B71" s="163"/>
      <c r="C71" s="163" t="s">
        <v>230</v>
      </c>
      <c r="D71" s="164" t="s">
        <v>83</v>
      </c>
      <c r="E71" s="220"/>
      <c r="F71" s="77"/>
      <c r="G71" s="164"/>
    </row>
    <row r="72" spans="2:7" x14ac:dyDescent="0.35">
      <c r="B72" s="163"/>
      <c r="C72" s="163" t="s">
        <v>231</v>
      </c>
      <c r="D72" s="164" t="s">
        <v>84</v>
      </c>
      <c r="E72" s="77"/>
      <c r="F72" s="77"/>
      <c r="G72" s="164"/>
    </row>
    <row r="73" spans="2:7" x14ac:dyDescent="0.35">
      <c r="B73" s="163"/>
      <c r="C73" s="99" t="s">
        <v>232</v>
      </c>
      <c r="D73" s="79" t="s">
        <v>85</v>
      </c>
      <c r="E73" s="77">
        <v>6707.0360929999997</v>
      </c>
      <c r="F73" s="167"/>
      <c r="G73" s="79"/>
    </row>
    <row r="74" spans="2:7" ht="15" thickBot="1" x14ac:dyDescent="0.4">
      <c r="B74" s="165">
        <v>45901</v>
      </c>
      <c r="C74" s="165"/>
      <c r="D74" s="166" t="s">
        <v>89</v>
      </c>
      <c r="E74" s="219">
        <f>SUM(E70:E73)</f>
        <v>6707.0360929999997</v>
      </c>
      <c r="F74" s="219">
        <f>SUM(F70:F73)</f>
        <v>0</v>
      </c>
      <c r="G74" s="219">
        <f t="shared" ref="G74" si="15">SUM(G70:G73)</f>
        <v>0</v>
      </c>
    </row>
    <row r="75" spans="2:7" ht="15" thickTop="1" x14ac:dyDescent="0.35">
      <c r="B75" s="160">
        <v>45931</v>
      </c>
      <c r="C75" s="160" t="s">
        <v>230</v>
      </c>
      <c r="D75" s="161" t="s">
        <v>82</v>
      </c>
      <c r="E75" s="220"/>
      <c r="F75" s="220"/>
      <c r="G75" s="162"/>
    </row>
    <row r="76" spans="2:7" x14ac:dyDescent="0.35">
      <c r="B76" s="163"/>
      <c r="C76" s="163" t="s">
        <v>230</v>
      </c>
      <c r="D76" s="164" t="s">
        <v>83</v>
      </c>
      <c r="E76" s="220"/>
      <c r="F76" s="77"/>
      <c r="G76" s="164"/>
    </row>
    <row r="77" spans="2:7" x14ac:dyDescent="0.35">
      <c r="B77" s="163"/>
      <c r="C77" s="163" t="s">
        <v>231</v>
      </c>
      <c r="D77" s="164" t="s">
        <v>84</v>
      </c>
      <c r="E77" s="77"/>
      <c r="F77" s="77"/>
      <c r="G77" s="164"/>
    </row>
    <row r="78" spans="2:7" x14ac:dyDescent="0.35">
      <c r="B78" s="163"/>
      <c r="C78" s="99" t="s">
        <v>232</v>
      </c>
      <c r="D78" s="79" t="s">
        <v>85</v>
      </c>
      <c r="E78" s="77"/>
      <c r="F78" s="167"/>
      <c r="G78" s="79"/>
    </row>
    <row r="79" spans="2:7" ht="15" thickBot="1" x14ac:dyDescent="0.4">
      <c r="B79" s="165">
        <v>45931</v>
      </c>
      <c r="C79" s="165"/>
      <c r="D79" s="166" t="s">
        <v>89</v>
      </c>
      <c r="E79" s="219">
        <f>SUM(E75:E78)</f>
        <v>0</v>
      </c>
      <c r="F79" s="219">
        <f>SUM(F75:F78)</f>
        <v>0</v>
      </c>
      <c r="G79" s="219">
        <f t="shared" ref="G79" si="16">SUM(G75:G78)</f>
        <v>0</v>
      </c>
    </row>
    <row r="80" spans="2:7" ht="15" thickTop="1" x14ac:dyDescent="0.35">
      <c r="B80" s="160">
        <v>45962</v>
      </c>
      <c r="C80" s="160" t="s">
        <v>230</v>
      </c>
      <c r="D80" s="161" t="s">
        <v>82</v>
      </c>
      <c r="E80" s="220"/>
      <c r="F80" s="220"/>
      <c r="G80" s="162"/>
    </row>
    <row r="81" spans="2:7" x14ac:dyDescent="0.35">
      <c r="B81" s="163"/>
      <c r="C81" s="163" t="s">
        <v>230</v>
      </c>
      <c r="D81" s="164" t="s">
        <v>83</v>
      </c>
      <c r="E81" s="220"/>
      <c r="F81" s="77"/>
      <c r="G81" s="164"/>
    </row>
    <row r="82" spans="2:7" x14ac:dyDescent="0.35">
      <c r="B82" s="163"/>
      <c r="C82" s="163" t="s">
        <v>231</v>
      </c>
      <c r="D82" s="164" t="s">
        <v>84</v>
      </c>
      <c r="E82" s="77"/>
      <c r="F82" s="77"/>
      <c r="G82" s="164"/>
    </row>
    <row r="83" spans="2:7" x14ac:dyDescent="0.35">
      <c r="B83" s="163"/>
      <c r="C83" s="99" t="s">
        <v>232</v>
      </c>
      <c r="D83" s="79" t="s">
        <v>85</v>
      </c>
      <c r="E83" s="77"/>
      <c r="F83" s="167"/>
      <c r="G83" s="79"/>
    </row>
    <row r="84" spans="2:7" ht="15" thickBot="1" x14ac:dyDescent="0.4">
      <c r="B84" s="165">
        <v>45962</v>
      </c>
      <c r="C84" s="165"/>
      <c r="D84" s="166" t="s">
        <v>89</v>
      </c>
      <c r="E84" s="219">
        <f>SUM(E80:E83)</f>
        <v>0</v>
      </c>
      <c r="F84" s="219">
        <f>SUM(F80:F83)</f>
        <v>0</v>
      </c>
      <c r="G84" s="219">
        <f t="shared" ref="G84" si="17">SUM(G80:G83)</f>
        <v>0</v>
      </c>
    </row>
    <row r="85" spans="2:7" ht="15" thickTop="1" x14ac:dyDescent="0.35">
      <c r="B85" s="160">
        <v>45992</v>
      </c>
      <c r="C85" s="160" t="s">
        <v>230</v>
      </c>
      <c r="D85" s="161" t="s">
        <v>82</v>
      </c>
      <c r="E85" s="220"/>
      <c r="F85" s="220"/>
      <c r="G85" s="162"/>
    </row>
    <row r="86" spans="2:7" x14ac:dyDescent="0.35">
      <c r="B86" s="163"/>
      <c r="C86" s="163" t="s">
        <v>230</v>
      </c>
      <c r="D86" s="164" t="s">
        <v>83</v>
      </c>
      <c r="E86" s="220"/>
      <c r="F86" s="77"/>
      <c r="G86" s="164"/>
    </row>
    <row r="87" spans="2:7" x14ac:dyDescent="0.35">
      <c r="B87" s="163"/>
      <c r="C87" s="163" t="s">
        <v>231</v>
      </c>
      <c r="D87" s="164" t="s">
        <v>84</v>
      </c>
      <c r="E87" s="77">
        <v>1048.27</v>
      </c>
      <c r="F87" s="77">
        <v>0.76</v>
      </c>
      <c r="G87" s="164"/>
    </row>
    <row r="88" spans="2:7" x14ac:dyDescent="0.35">
      <c r="B88" s="163"/>
      <c r="C88" s="99" t="s">
        <v>232</v>
      </c>
      <c r="D88" s="79" t="s">
        <v>85</v>
      </c>
      <c r="E88" s="297">
        <v>2921.8418973001367</v>
      </c>
      <c r="F88" s="167"/>
      <c r="G88" s="79"/>
    </row>
    <row r="89" spans="2:7" ht="15" thickBot="1" x14ac:dyDescent="0.4">
      <c r="B89" s="165">
        <v>45992</v>
      </c>
      <c r="C89" s="165"/>
      <c r="D89" s="166" t="s">
        <v>89</v>
      </c>
      <c r="E89" s="219">
        <f>SUM(E85:E88)</f>
        <v>3970.1118973001367</v>
      </c>
      <c r="F89" s="219">
        <f>SUM(F85:F88)</f>
        <v>0.76</v>
      </c>
      <c r="G89" s="219">
        <f t="shared" ref="G89" si="18">SUM(G85:G88)</f>
        <v>0</v>
      </c>
    </row>
    <row r="90" spans="2:7" ht="15" thickTop="1" x14ac:dyDescent="0.35"/>
  </sheetData>
  <mergeCells count="4">
    <mergeCell ref="B5:K5"/>
    <mergeCell ref="B6:E6"/>
    <mergeCell ref="F6:K6"/>
    <mergeCell ref="B23:G23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384BD-AEE0-4EAC-B81B-BE0806885C88}">
  <dimension ref="B1:L21"/>
  <sheetViews>
    <sheetView showGridLines="0" workbookViewId="0">
      <selection activeCell="I15" sqref="I15"/>
    </sheetView>
  </sheetViews>
  <sheetFormatPr defaultRowHeight="14.5" x14ac:dyDescent="0.35"/>
  <cols>
    <col min="1" max="1" width="3.81640625" customWidth="1"/>
    <col min="2" max="2" width="13.1796875" customWidth="1"/>
    <col min="7" max="7" width="11.81640625" style="22" customWidth="1"/>
    <col min="8" max="8" width="9.26953125" style="22" customWidth="1"/>
    <col min="9" max="11" width="13" customWidth="1"/>
    <col min="12" max="12" width="16.81640625" bestFit="1" customWidth="1"/>
  </cols>
  <sheetData>
    <row r="1" spans="2:12" ht="15" customHeight="1" x14ac:dyDescent="0.35">
      <c r="B1" s="260" t="s">
        <v>112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2:12" x14ac:dyDescent="0.35"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</row>
    <row r="3" spans="2:12" x14ac:dyDescent="0.3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</row>
    <row r="5" spans="2:12" ht="43.5" x14ac:dyDescent="0.35">
      <c r="B5" s="74" t="s">
        <v>117</v>
      </c>
      <c r="C5" s="64" t="s">
        <v>113</v>
      </c>
      <c r="D5" s="64" t="s">
        <v>114</v>
      </c>
      <c r="E5" s="64" t="s">
        <v>115</v>
      </c>
      <c r="F5" s="64" t="s">
        <v>116</v>
      </c>
      <c r="G5" s="64" t="s">
        <v>120</v>
      </c>
      <c r="H5" s="64" t="s">
        <v>121</v>
      </c>
      <c r="I5" s="74" t="s">
        <v>118</v>
      </c>
      <c r="J5" s="74" t="s">
        <v>119</v>
      </c>
      <c r="K5" s="63" t="s">
        <v>6</v>
      </c>
      <c r="L5" s="75" t="s">
        <v>11</v>
      </c>
    </row>
    <row r="6" spans="2:12" x14ac:dyDescent="0.35">
      <c r="B6" s="99">
        <v>45262</v>
      </c>
      <c r="C6" s="167">
        <v>0</v>
      </c>
      <c r="D6" s="167">
        <v>0</v>
      </c>
      <c r="E6" s="167">
        <v>0</v>
      </c>
      <c r="F6" s="167">
        <v>0</v>
      </c>
      <c r="G6" s="167">
        <v>0</v>
      </c>
      <c r="H6" s="167">
        <v>0</v>
      </c>
      <c r="I6" s="167">
        <v>0</v>
      </c>
      <c r="J6" s="167">
        <v>0</v>
      </c>
      <c r="K6" s="167">
        <v>0</v>
      </c>
      <c r="L6" s="167">
        <v>0</v>
      </c>
    </row>
    <row r="7" spans="2:12" x14ac:dyDescent="0.35">
      <c r="B7" s="88" t="s">
        <v>237</v>
      </c>
      <c r="C7" s="167">
        <v>0</v>
      </c>
      <c r="D7" s="167">
        <v>0</v>
      </c>
      <c r="E7" s="167">
        <v>0</v>
      </c>
      <c r="F7" s="167">
        <v>0</v>
      </c>
      <c r="G7" s="167">
        <v>0</v>
      </c>
      <c r="H7" s="167">
        <v>0</v>
      </c>
      <c r="I7" s="167">
        <v>0</v>
      </c>
      <c r="J7" s="167">
        <v>0</v>
      </c>
      <c r="K7" s="167">
        <v>0</v>
      </c>
      <c r="L7" s="81">
        <f>(E7*G7*(1-I7))*K7</f>
        <v>0</v>
      </c>
    </row>
    <row r="8" spans="2:12" x14ac:dyDescent="0.35">
      <c r="B8" s="88" t="s">
        <v>238</v>
      </c>
      <c r="C8" s="167">
        <v>0</v>
      </c>
      <c r="D8" s="167">
        <v>0</v>
      </c>
      <c r="E8" s="167">
        <v>0</v>
      </c>
      <c r="F8" s="167">
        <v>0</v>
      </c>
      <c r="G8" s="167">
        <v>0</v>
      </c>
      <c r="H8" s="167">
        <v>0</v>
      </c>
      <c r="I8" s="167">
        <v>0</v>
      </c>
      <c r="J8" s="167">
        <v>0</v>
      </c>
      <c r="K8" s="167">
        <v>0</v>
      </c>
      <c r="L8" s="81">
        <f>(E8*G8*(1-I8))*K8</f>
        <v>0</v>
      </c>
    </row>
    <row r="9" spans="2:12" x14ac:dyDescent="0.35">
      <c r="B9" s="88" t="s">
        <v>239</v>
      </c>
      <c r="C9" s="167">
        <v>0</v>
      </c>
      <c r="D9" s="167">
        <v>0</v>
      </c>
      <c r="E9" s="167">
        <v>0</v>
      </c>
      <c r="F9" s="167">
        <v>0</v>
      </c>
      <c r="G9" s="167">
        <v>0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</row>
    <row r="10" spans="2:12" x14ac:dyDescent="0.35">
      <c r="B10" s="88" t="s">
        <v>240</v>
      </c>
      <c r="C10" s="167">
        <v>0</v>
      </c>
      <c r="D10" s="167">
        <v>0</v>
      </c>
      <c r="E10" s="167">
        <v>0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</row>
    <row r="11" spans="2:12" x14ac:dyDescent="0.35">
      <c r="B11" s="88" t="s">
        <v>241</v>
      </c>
      <c r="C11" s="167">
        <v>0</v>
      </c>
      <c r="D11" s="167">
        <v>0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</row>
    <row r="12" spans="2:12" x14ac:dyDescent="0.35">
      <c r="B12" s="88" t="s">
        <v>243</v>
      </c>
      <c r="C12" s="167">
        <v>0</v>
      </c>
      <c r="D12" s="167">
        <v>0</v>
      </c>
      <c r="E12" s="167">
        <v>0</v>
      </c>
      <c r="F12" s="167">
        <v>0</v>
      </c>
      <c r="G12" s="167">
        <v>0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</row>
    <row r="13" spans="2:12" x14ac:dyDescent="0.35">
      <c r="B13" s="88" t="s">
        <v>244</v>
      </c>
      <c r="C13" s="167">
        <v>0</v>
      </c>
      <c r="D13" s="167">
        <v>0</v>
      </c>
      <c r="E13" s="167">
        <v>0</v>
      </c>
      <c r="F13" s="167">
        <v>0</v>
      </c>
      <c r="G13" s="167">
        <v>0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</row>
    <row r="14" spans="2:12" x14ac:dyDescent="0.35">
      <c r="B14" s="88" t="s">
        <v>245</v>
      </c>
      <c r="C14" s="167">
        <v>0</v>
      </c>
      <c r="D14" s="167">
        <v>0</v>
      </c>
      <c r="E14" s="167">
        <v>0</v>
      </c>
      <c r="F14" s="167">
        <v>0</v>
      </c>
      <c r="G14" s="167">
        <v>0</v>
      </c>
      <c r="H14" s="167">
        <v>0</v>
      </c>
      <c r="I14" s="167">
        <v>0</v>
      </c>
      <c r="J14" s="167">
        <v>0</v>
      </c>
      <c r="K14" s="167">
        <v>0</v>
      </c>
      <c r="L14" s="167">
        <v>0</v>
      </c>
    </row>
    <row r="15" spans="2:12" x14ac:dyDescent="0.35">
      <c r="B15" s="88" t="s">
        <v>246</v>
      </c>
      <c r="C15" s="167">
        <v>0</v>
      </c>
      <c r="D15" s="167">
        <v>0</v>
      </c>
      <c r="E15" s="167">
        <v>0</v>
      </c>
      <c r="F15" s="167">
        <v>0</v>
      </c>
      <c r="G15" s="167">
        <v>0</v>
      </c>
      <c r="H15" s="167">
        <v>0</v>
      </c>
      <c r="I15" s="167">
        <v>0</v>
      </c>
      <c r="J15" s="167">
        <v>0</v>
      </c>
      <c r="K15" s="167">
        <v>0</v>
      </c>
      <c r="L15" s="167">
        <v>0</v>
      </c>
    </row>
    <row r="16" spans="2:12" x14ac:dyDescent="0.35">
      <c r="B16" s="88" t="s">
        <v>247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</row>
    <row r="17" spans="2:12" x14ac:dyDescent="0.35">
      <c r="B17" s="88" t="s">
        <v>242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</row>
    <row r="18" spans="2:12" x14ac:dyDescent="0.35">
      <c r="B18" s="88" t="s">
        <v>248</v>
      </c>
      <c r="C18" s="167">
        <v>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</row>
    <row r="20" spans="2:12" ht="33" customHeight="1" x14ac:dyDescent="0.35">
      <c r="B20" s="296" t="s">
        <v>235</v>
      </c>
      <c r="C20" s="296"/>
      <c r="D20" s="296"/>
      <c r="E20" s="296"/>
      <c r="F20" s="296"/>
      <c r="G20" s="296"/>
      <c r="H20" s="60">
        <v>0.31297709923664124</v>
      </c>
    </row>
    <row r="21" spans="2:12" x14ac:dyDescent="0.35">
      <c r="B21" s="59" t="s">
        <v>236</v>
      </c>
      <c r="C21" s="59"/>
      <c r="D21" s="59"/>
      <c r="E21" s="59"/>
      <c r="H21" s="59">
        <v>27.038091603053438</v>
      </c>
    </row>
  </sheetData>
  <mergeCells count="2">
    <mergeCell ref="B1:L3"/>
    <mergeCell ref="B20:G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1:S23"/>
  <sheetViews>
    <sheetView showGridLines="0" tabSelected="1" zoomScale="80" zoomScaleNormal="80" workbookViewId="0">
      <selection activeCell="M18" sqref="M18"/>
    </sheetView>
  </sheetViews>
  <sheetFormatPr defaultRowHeight="14.5" x14ac:dyDescent="0.35"/>
  <cols>
    <col min="1" max="1" width="4.1796875" customWidth="1"/>
    <col min="2" max="2" width="14.81640625" customWidth="1"/>
    <col min="3" max="3" width="17" customWidth="1"/>
    <col min="4" max="4" width="12.54296875" customWidth="1"/>
    <col min="5" max="5" width="15" customWidth="1"/>
    <col min="6" max="6" width="12.54296875" customWidth="1"/>
    <col min="7" max="7" width="14.1796875" bestFit="1" customWidth="1"/>
    <col min="8" max="8" width="18.54296875" customWidth="1"/>
    <col min="9" max="9" width="15.81640625" bestFit="1" customWidth="1"/>
    <col min="11" max="11" width="20.1796875" customWidth="1"/>
    <col min="12" max="12" width="15.26953125" bestFit="1" customWidth="1"/>
    <col min="13" max="13" width="20.54296875" bestFit="1" customWidth="1"/>
    <col min="14" max="14" width="20.1796875" customWidth="1"/>
    <col min="15" max="15" width="20.7265625" customWidth="1"/>
    <col min="16" max="16" width="19.54296875" bestFit="1" customWidth="1"/>
    <col min="17" max="17" width="25.7265625" customWidth="1"/>
    <col min="18" max="18" width="36.1796875" style="32" bestFit="1" customWidth="1"/>
    <col min="19" max="19" width="16.7265625" bestFit="1" customWidth="1"/>
  </cols>
  <sheetData>
    <row r="1" spans="2:19" ht="15" customHeight="1" x14ac:dyDescent="0.35">
      <c r="B1" s="260" t="s">
        <v>197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</row>
    <row r="2" spans="2:19" ht="15" customHeight="1" x14ac:dyDescent="0.35"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</row>
    <row r="3" spans="2:19" ht="15" customHeight="1" x14ac:dyDescent="0.3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</row>
    <row r="4" spans="2:19" ht="15" customHeight="1" x14ac:dyDescent="0.55000000000000004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2:19" ht="15.5" x14ac:dyDescent="0.35">
      <c r="B5" s="257" t="s">
        <v>194</v>
      </c>
      <c r="C5" s="258"/>
      <c r="D5" s="258"/>
      <c r="E5" s="258"/>
      <c r="F5" s="258"/>
      <c r="G5" s="258"/>
      <c r="H5" s="258"/>
      <c r="I5" s="259"/>
      <c r="K5" s="257" t="s">
        <v>195</v>
      </c>
      <c r="L5" s="258"/>
      <c r="M5" s="258"/>
      <c r="N5" s="258"/>
      <c r="O5" s="258"/>
      <c r="P5" s="258"/>
      <c r="Q5" s="258"/>
      <c r="R5"/>
    </row>
    <row r="6" spans="2:19" s="3" customFormat="1" ht="43.5" x14ac:dyDescent="0.35">
      <c r="B6" s="62" t="s">
        <v>117</v>
      </c>
      <c r="C6" s="63" t="s">
        <v>373</v>
      </c>
      <c r="D6" s="63" t="s">
        <v>6</v>
      </c>
      <c r="E6" s="63" t="s">
        <v>10</v>
      </c>
      <c r="F6" s="64" t="s">
        <v>9</v>
      </c>
      <c r="G6" s="63" t="s">
        <v>8</v>
      </c>
      <c r="H6" s="65" t="s">
        <v>11</v>
      </c>
      <c r="I6" s="63" t="s">
        <v>12</v>
      </c>
      <c r="K6" s="65" t="s">
        <v>14</v>
      </c>
      <c r="L6" s="63" t="s">
        <v>149</v>
      </c>
      <c r="M6" s="63" t="s">
        <v>15</v>
      </c>
      <c r="N6" s="65" t="s">
        <v>112</v>
      </c>
      <c r="O6" s="63" t="s">
        <v>17</v>
      </c>
      <c r="P6" s="66" t="s">
        <v>16</v>
      </c>
      <c r="Q6" s="62" t="s">
        <v>18</v>
      </c>
      <c r="R6" s="33"/>
    </row>
    <row r="7" spans="2:19" x14ac:dyDescent="0.35">
      <c r="B7" s="67">
        <v>45658</v>
      </c>
      <c r="C7" s="68">
        <f>IF(Parâmetros!$D$8&gt;Parâmetros!$D$10,Parâmetros!$D$10,Parâmetros!$D$8)</f>
        <v>200000</v>
      </c>
      <c r="D7" s="69">
        <f>Parâmetros!$D$6</f>
        <v>0.95379800000000003</v>
      </c>
      <c r="E7" s="68">
        <f>(Parâmetros!$D$13+Parâmetros!$D$16+Parâmetros!$D$21+Parâmetros!$D$18-Parâmetros!$D$23)</f>
        <v>0</v>
      </c>
      <c r="F7" s="68">
        <f>$C7*$D7-$E7</f>
        <v>190759.6</v>
      </c>
      <c r="G7" s="70">
        <f>'NF carvão'!$P$15</f>
        <v>445.64027599999997</v>
      </c>
      <c r="H7" s="72">
        <f>ROUND(F7*G7,2)</f>
        <v>85010160.790000007</v>
      </c>
      <c r="I7" s="71"/>
      <c r="K7" s="70">
        <f t="shared" ref="K7:K12" si="0">H7</f>
        <v>85010160.790000007</v>
      </c>
      <c r="L7" s="70">
        <f>Secund!I8</f>
        <v>0</v>
      </c>
      <c r="M7" s="70">
        <f>Secund!S8</f>
        <v>1875123.2236342172</v>
      </c>
      <c r="N7" s="70">
        <f>Tributos!L7</f>
        <v>0</v>
      </c>
      <c r="O7" s="70">
        <f>SUM(K7:N7)</f>
        <v>86885284.01363422</v>
      </c>
      <c r="P7" s="70">
        <f>Parâmetros!$D$25</f>
        <v>114115071.47666667</v>
      </c>
      <c r="Q7" s="168">
        <f>MIN(O7,P7)</f>
        <v>86885284.01363422</v>
      </c>
      <c r="S7" s="52"/>
    </row>
    <row r="8" spans="2:19" x14ac:dyDescent="0.35">
      <c r="B8" s="67">
        <v>45689</v>
      </c>
      <c r="C8" s="68">
        <f>IF(Parâmetros!$D$8&gt;Parâmetros!$D$10,Parâmetros!$D$10,Parâmetros!$D$8)</f>
        <v>200000</v>
      </c>
      <c r="D8" s="69">
        <f>Parâmetros!$D$6</f>
        <v>0.95379800000000003</v>
      </c>
      <c r="E8" s="68">
        <f>(Parâmetros!$D$13+Parâmetros!$D$16+Parâmetros!$D$21+Parâmetros!$D$18-Parâmetros!$D$23)</f>
        <v>0</v>
      </c>
      <c r="F8" s="68">
        <f>$C8*$D8-$E8</f>
        <v>190759.6</v>
      </c>
      <c r="G8" s="70">
        <f>'NF carvão'!$P$15</f>
        <v>445.64027599999997</v>
      </c>
      <c r="H8" s="70">
        <f t="shared" ref="H8:H18" si="1">ROUND(F8*G8,2)</f>
        <v>85010160.790000007</v>
      </c>
      <c r="I8" s="71"/>
      <c r="K8" s="72">
        <f>H8</f>
        <v>85010160.790000007</v>
      </c>
      <c r="L8" s="72">
        <f>Secund!I9</f>
        <v>0</v>
      </c>
      <c r="M8" s="72">
        <f>Secund!S9</f>
        <v>781413.68282083597</v>
      </c>
      <c r="N8" s="70">
        <f>Tributos!L8</f>
        <v>0</v>
      </c>
      <c r="O8" s="70">
        <f t="shared" ref="O8:O18" si="2">SUM(K8:N8)</f>
        <v>85791574.472820848</v>
      </c>
      <c r="P8" s="70">
        <f>Parâmetros!$D$25</f>
        <v>114115071.47666667</v>
      </c>
      <c r="Q8" s="168">
        <f t="shared" ref="Q8:Q13" si="3">MIN(O8,P8)</f>
        <v>85791574.472820848</v>
      </c>
      <c r="S8" s="52"/>
    </row>
    <row r="9" spans="2:19" x14ac:dyDescent="0.35">
      <c r="B9" s="67">
        <v>45717</v>
      </c>
      <c r="C9" s="68">
        <f>IF(Parâmetros!$D$8&gt;Parâmetros!$D$10,Parâmetros!$D$10,Parâmetros!$D$8)</f>
        <v>200000</v>
      </c>
      <c r="D9" s="69">
        <f>Parâmetros!$D$6</f>
        <v>0.95379800000000003</v>
      </c>
      <c r="E9" s="68">
        <f>(Parâmetros!$D$13+Parâmetros!$D$16+Parâmetros!$D$21+Parâmetros!$D$18-Parâmetros!$D$23)</f>
        <v>0</v>
      </c>
      <c r="F9" s="68">
        <f t="shared" ref="F9:F18" si="4">$C9*$D9-$E9</f>
        <v>190759.6</v>
      </c>
      <c r="G9" s="70">
        <f>'NF carvão'!$P$15</f>
        <v>445.64027599999997</v>
      </c>
      <c r="H9" s="70">
        <f t="shared" si="1"/>
        <v>85010160.790000007</v>
      </c>
      <c r="I9" s="71"/>
      <c r="K9" s="70">
        <f t="shared" si="0"/>
        <v>85010160.790000007</v>
      </c>
      <c r="L9" s="72">
        <f>Secund!I10</f>
        <v>0</v>
      </c>
      <c r="M9" s="72">
        <f>Secund!S10</f>
        <v>1888868.8439285997</v>
      </c>
      <c r="N9" s="70">
        <f>Tributos!L9</f>
        <v>0</v>
      </c>
      <c r="O9" s="70">
        <f>SUM(K9:N9)</f>
        <v>86899029.633928612</v>
      </c>
      <c r="P9" s="70">
        <f>Parâmetros!$D$25</f>
        <v>114115071.47666667</v>
      </c>
      <c r="Q9" s="168">
        <f t="shared" si="3"/>
        <v>86899029.633928612</v>
      </c>
      <c r="S9" s="52"/>
    </row>
    <row r="10" spans="2:19" x14ac:dyDescent="0.35">
      <c r="B10" s="67">
        <v>45748</v>
      </c>
      <c r="C10" s="68">
        <f>IF(Parâmetros!$D$8&gt;Parâmetros!$D$10,Parâmetros!$D$10,Parâmetros!$D$8)</f>
        <v>200000</v>
      </c>
      <c r="D10" s="69">
        <f>Parâmetros!$D$6</f>
        <v>0.95379800000000003</v>
      </c>
      <c r="E10" s="68">
        <f>(Parâmetros!$D$13+Parâmetros!$D$16+Parâmetros!$D$21+Parâmetros!$D$18-Parâmetros!$D$23)</f>
        <v>0</v>
      </c>
      <c r="F10" s="68">
        <f t="shared" si="4"/>
        <v>190759.6</v>
      </c>
      <c r="G10" s="70">
        <f>'NF carvão'!$P$15</f>
        <v>445.64027599999997</v>
      </c>
      <c r="H10" s="70">
        <f t="shared" si="1"/>
        <v>85010160.790000007</v>
      </c>
      <c r="I10" s="71"/>
      <c r="K10" s="70">
        <f t="shared" si="0"/>
        <v>85010160.790000007</v>
      </c>
      <c r="L10" s="70">
        <f>Secund!I11</f>
        <v>0</v>
      </c>
      <c r="M10" s="70">
        <f>Secund!S11</f>
        <v>698224.54483487993</v>
      </c>
      <c r="N10" s="70">
        <f>Tributos!L10</f>
        <v>0</v>
      </c>
      <c r="O10" s="70">
        <f t="shared" si="2"/>
        <v>85708385.334834889</v>
      </c>
      <c r="P10" s="70">
        <f>Parâmetros!$D$25</f>
        <v>114115071.47666667</v>
      </c>
      <c r="Q10" s="168">
        <f t="shared" si="3"/>
        <v>85708385.334834889</v>
      </c>
      <c r="S10" s="52"/>
    </row>
    <row r="11" spans="2:19" x14ac:dyDescent="0.35">
      <c r="B11" s="67">
        <v>45778</v>
      </c>
      <c r="C11" s="68">
        <f>IF(Parâmetros!$D$8&gt;Parâmetros!$D$10,Parâmetros!$D$10,Parâmetros!$D$8)</f>
        <v>200000</v>
      </c>
      <c r="D11" s="69">
        <f>Parâmetros!$D$6</f>
        <v>0.95379800000000003</v>
      </c>
      <c r="E11" s="68">
        <f>(Parâmetros!$D$13+Parâmetros!$D$16+Parâmetros!$D$21+Parâmetros!$D$18-Parâmetros!$D$23)</f>
        <v>0</v>
      </c>
      <c r="F11" s="68">
        <f t="shared" si="4"/>
        <v>190759.6</v>
      </c>
      <c r="G11" s="70">
        <f>'NF carvão'!$P$15</f>
        <v>445.64027599999997</v>
      </c>
      <c r="H11" s="70">
        <f t="shared" si="1"/>
        <v>85010160.790000007</v>
      </c>
      <c r="I11" s="71"/>
      <c r="K11" s="70">
        <f t="shared" si="0"/>
        <v>85010160.790000007</v>
      </c>
      <c r="L11" s="70">
        <f>Secund!I12</f>
        <v>0</v>
      </c>
      <c r="M11" s="70">
        <f>Secund!S12</f>
        <v>3163033.2660826403</v>
      </c>
      <c r="N11" s="70">
        <f>Tributos!L11</f>
        <v>0</v>
      </c>
      <c r="O11" s="70">
        <f t="shared" si="2"/>
        <v>88173194.056082651</v>
      </c>
      <c r="P11" s="70">
        <f>Parâmetros!$D$25</f>
        <v>114115071.47666667</v>
      </c>
      <c r="Q11" s="168">
        <f t="shared" si="3"/>
        <v>88173194.056082651</v>
      </c>
      <c r="S11" s="32"/>
    </row>
    <row r="12" spans="2:19" x14ac:dyDescent="0.35">
      <c r="B12" s="67">
        <v>45809</v>
      </c>
      <c r="C12" s="68">
        <f>IF(Parâmetros!$D$8&gt;Parâmetros!$D$10,Parâmetros!$D$10,Parâmetros!$D$8)</f>
        <v>200000</v>
      </c>
      <c r="D12" s="69">
        <f>Parâmetros!$D$6</f>
        <v>0.95379800000000003</v>
      </c>
      <c r="E12" s="68">
        <f>(Parâmetros!$D$13+Parâmetros!$D$16+Parâmetros!$D$21+Parâmetros!$D$18-Parâmetros!$D$23)</f>
        <v>0</v>
      </c>
      <c r="F12" s="68">
        <f t="shared" si="4"/>
        <v>190759.6</v>
      </c>
      <c r="G12" s="70">
        <f>'NF carvão'!$P$15</f>
        <v>445.64027599999997</v>
      </c>
      <c r="H12" s="70">
        <f t="shared" si="1"/>
        <v>85010160.790000007</v>
      </c>
      <c r="I12" s="71"/>
      <c r="K12" s="70">
        <f t="shared" si="0"/>
        <v>85010160.790000007</v>
      </c>
      <c r="L12" s="72">
        <f>Secund!I13</f>
        <v>0</v>
      </c>
      <c r="M12" s="70">
        <f>Secund!S13</f>
        <v>2159065.0220140242</v>
      </c>
      <c r="N12" s="70">
        <f>Tributos!L12</f>
        <v>0</v>
      </c>
      <c r="O12" s="70">
        <f t="shared" si="2"/>
        <v>87169225.812014028</v>
      </c>
      <c r="P12" s="70">
        <f>Parâmetros!$D$25</f>
        <v>114115071.47666667</v>
      </c>
      <c r="Q12" s="168">
        <f t="shared" si="3"/>
        <v>87169225.812014028</v>
      </c>
      <c r="S12" s="32"/>
    </row>
    <row r="13" spans="2:19" x14ac:dyDescent="0.35">
      <c r="B13" s="67">
        <v>45839</v>
      </c>
      <c r="C13" s="68">
        <f>IF(Parâmetros!$D$8&gt;Parâmetros!$D$10,Parâmetros!$D$10,Parâmetros!$D$8)</f>
        <v>200000</v>
      </c>
      <c r="D13" s="69">
        <f>Parâmetros!$D$6</f>
        <v>0.95379800000000003</v>
      </c>
      <c r="E13" s="68">
        <f>(Parâmetros!$D$13+Parâmetros!$D$16+Parâmetros!$D$21+Parâmetros!$D$18-Parâmetros!$D$23)</f>
        <v>0</v>
      </c>
      <c r="F13" s="68">
        <f t="shared" si="4"/>
        <v>190759.6</v>
      </c>
      <c r="G13" s="70">
        <f>'NF carvão'!$P$15</f>
        <v>445.64027599999997</v>
      </c>
      <c r="H13" s="70">
        <f t="shared" si="1"/>
        <v>85010160.790000007</v>
      </c>
      <c r="I13" s="71"/>
      <c r="K13" s="70">
        <f t="shared" ref="K13" si="5">H13</f>
        <v>85010160.790000007</v>
      </c>
      <c r="L13" s="70">
        <f>Secund!I14</f>
        <v>0</v>
      </c>
      <c r="M13" s="70">
        <f>Secund!S14</f>
        <v>1233807.742756756</v>
      </c>
      <c r="N13" s="70">
        <f>Tributos!L13</f>
        <v>0</v>
      </c>
      <c r="O13" s="70">
        <f t="shared" si="2"/>
        <v>86243968.532756761</v>
      </c>
      <c r="P13" s="70">
        <f>Parâmetros!$D$25</f>
        <v>114115071.47666667</v>
      </c>
      <c r="Q13" s="168">
        <f t="shared" si="3"/>
        <v>86243968.532756761</v>
      </c>
      <c r="S13" s="32"/>
    </row>
    <row r="14" spans="2:19" x14ac:dyDescent="0.35">
      <c r="B14" s="67">
        <v>45870</v>
      </c>
      <c r="C14" s="68">
        <f>IF(Parâmetros!$D$8&gt;Parâmetros!$D$10,Parâmetros!$D$10,Parâmetros!$D$8)</f>
        <v>200000</v>
      </c>
      <c r="D14" s="69">
        <f>Parâmetros!$D$6</f>
        <v>0.95379800000000003</v>
      </c>
      <c r="E14" s="68">
        <f>(Parâmetros!$D$13+Parâmetros!$D$16+Parâmetros!$D$21+Parâmetros!$D$18-Parâmetros!$D$23)</f>
        <v>0</v>
      </c>
      <c r="F14" s="68">
        <f t="shared" si="4"/>
        <v>190759.6</v>
      </c>
      <c r="G14" s="70">
        <f>'NF carvão'!$P$15</f>
        <v>445.64027599999997</v>
      </c>
      <c r="H14" s="70">
        <f t="shared" si="1"/>
        <v>85010160.790000007</v>
      </c>
      <c r="I14" s="71"/>
      <c r="K14" s="70">
        <f t="shared" ref="K14" si="6">H14</f>
        <v>85010160.790000007</v>
      </c>
      <c r="L14" s="70">
        <f>Secund!I15</f>
        <v>0</v>
      </c>
      <c r="M14" s="70">
        <f>Secund!S15</f>
        <v>646477.84626350005</v>
      </c>
      <c r="N14" s="70">
        <f>Tributos!L14</f>
        <v>0</v>
      </c>
      <c r="O14" s="70">
        <f t="shared" si="2"/>
        <v>85656638.636263505</v>
      </c>
      <c r="P14" s="70">
        <f>Parâmetros!$D$25</f>
        <v>114115071.47666667</v>
      </c>
      <c r="Q14" s="168">
        <f t="shared" ref="Q14" si="7">MIN(O14,P14)</f>
        <v>85656638.636263505</v>
      </c>
      <c r="S14" s="32"/>
    </row>
    <row r="15" spans="2:19" x14ac:dyDescent="0.35">
      <c r="B15" s="67">
        <v>45901</v>
      </c>
      <c r="C15" s="68">
        <f>IF(Parâmetros!$D$8&gt;Parâmetros!$D$10,Parâmetros!$D$10,Parâmetros!$D$8)</f>
        <v>200000</v>
      </c>
      <c r="D15" s="69">
        <f>Parâmetros!$D$6</f>
        <v>0.95379800000000003</v>
      </c>
      <c r="E15" s="68">
        <f>(Parâmetros!$D$13+Parâmetros!$D$16+Parâmetros!$D$21+Parâmetros!$D$18-Parâmetros!$D$23)</f>
        <v>0</v>
      </c>
      <c r="F15" s="68">
        <f t="shared" si="4"/>
        <v>190759.6</v>
      </c>
      <c r="G15" s="70">
        <f>'NF carvão'!$P$15</f>
        <v>445.64027599999997</v>
      </c>
      <c r="H15" s="70">
        <f t="shared" si="1"/>
        <v>85010160.790000007</v>
      </c>
      <c r="I15" s="71"/>
      <c r="K15" s="70">
        <f t="shared" ref="K15:K16" si="8">H15</f>
        <v>85010160.790000007</v>
      </c>
      <c r="L15" s="70">
        <f>Secund!I16</f>
        <v>0</v>
      </c>
      <c r="M15" s="70">
        <f>Secund!S16</f>
        <v>196089.900123</v>
      </c>
      <c r="N15" s="70">
        <f>Tributos!L15</f>
        <v>0</v>
      </c>
      <c r="O15" s="70">
        <f t="shared" si="2"/>
        <v>85206250.690123007</v>
      </c>
      <c r="P15" s="70">
        <f>Parâmetros!$D$25</f>
        <v>114115071.47666667</v>
      </c>
      <c r="Q15" s="168">
        <f t="shared" ref="Q15:Q18" si="9">MIN(O15,P15)</f>
        <v>85206250.690123007</v>
      </c>
      <c r="S15" s="32"/>
    </row>
    <row r="16" spans="2:19" x14ac:dyDescent="0.35">
      <c r="B16" s="67">
        <v>45931</v>
      </c>
      <c r="C16" s="68">
        <f>IF(Parâmetros!$D$8&gt;Parâmetros!$D$10,Parâmetros!$D$10,Parâmetros!$D$8)</f>
        <v>200000</v>
      </c>
      <c r="D16" s="69">
        <f>Parâmetros!$D$6</f>
        <v>0.95379800000000003</v>
      </c>
      <c r="E16" s="68">
        <f>(Parâmetros!$D$13+Parâmetros!$D$16+Parâmetros!$D$21+Parâmetros!$D$18-Parâmetros!$D$23)</f>
        <v>0</v>
      </c>
      <c r="F16" s="68">
        <f t="shared" si="4"/>
        <v>190759.6</v>
      </c>
      <c r="G16" s="70">
        <f>'NF carvão'!$P$15</f>
        <v>445.64027599999997</v>
      </c>
      <c r="H16" s="70">
        <f t="shared" si="1"/>
        <v>85010160.790000007</v>
      </c>
      <c r="I16" s="71"/>
      <c r="K16" s="70">
        <f t="shared" si="8"/>
        <v>85010160.790000007</v>
      </c>
      <c r="L16" s="70">
        <f>Secund!I17</f>
        <v>0</v>
      </c>
      <c r="M16" s="70">
        <f>Secund!S17</f>
        <v>1515662.5848533602</v>
      </c>
      <c r="N16" s="70">
        <f>Tributos!L16</f>
        <v>0</v>
      </c>
      <c r="O16" s="70">
        <f t="shared" si="2"/>
        <v>86525823.374853373</v>
      </c>
      <c r="P16" s="70">
        <f>Parâmetros!$D$25</f>
        <v>114115071.47666667</v>
      </c>
      <c r="Q16" s="168">
        <f>MIN(O16,P16)</f>
        <v>86525823.374853373</v>
      </c>
      <c r="S16" s="32"/>
    </row>
    <row r="17" spans="2:19" x14ac:dyDescent="0.35">
      <c r="B17" s="67">
        <v>45962</v>
      </c>
      <c r="C17" s="68">
        <f>IF(Parâmetros!$D$8&gt;Parâmetros!$D$10,Parâmetros!$D$10,Parâmetros!$D$8)</f>
        <v>200000</v>
      </c>
      <c r="D17" s="69">
        <f>Parâmetros!$D$6</f>
        <v>0.95379800000000003</v>
      </c>
      <c r="E17" s="68">
        <f>(Parâmetros!$D$13+Parâmetros!$D$16+Parâmetros!$D$21+Parâmetros!$D$18-Parâmetros!$D$23)</f>
        <v>0</v>
      </c>
      <c r="F17" s="68">
        <f t="shared" si="4"/>
        <v>190759.6</v>
      </c>
      <c r="G17" s="70">
        <f>'NF carvão'!$P$15</f>
        <v>445.64027599999997</v>
      </c>
      <c r="H17" s="70">
        <f t="shared" si="1"/>
        <v>85010160.790000007</v>
      </c>
      <c r="I17" s="71"/>
      <c r="K17" s="70">
        <f t="shared" ref="K17" si="10">H17</f>
        <v>85010160.790000007</v>
      </c>
      <c r="L17" s="70">
        <f>Secund!I18</f>
        <v>0</v>
      </c>
      <c r="M17" s="70">
        <f>Secund!S18</f>
        <v>881782.88886205025</v>
      </c>
      <c r="N17" s="70">
        <f>Tributos!L17</f>
        <v>0</v>
      </c>
      <c r="O17" s="70">
        <f t="shared" si="2"/>
        <v>85891943.67886205</v>
      </c>
      <c r="P17" s="70">
        <f>Parâmetros!$D$25</f>
        <v>114115071.47666667</v>
      </c>
      <c r="Q17" s="168">
        <f t="shared" si="9"/>
        <v>85891943.67886205</v>
      </c>
      <c r="S17" s="32"/>
    </row>
    <row r="18" spans="2:19" x14ac:dyDescent="0.35">
      <c r="B18" s="67">
        <v>45992</v>
      </c>
      <c r="C18" s="68">
        <f>IF(Parâmetros!$D$8&gt;Parâmetros!$D$10,Parâmetros!$D$10,Parâmetros!$D$8)</f>
        <v>200000</v>
      </c>
      <c r="D18" s="69">
        <f>Parâmetros!$D$6</f>
        <v>0.95379800000000003</v>
      </c>
      <c r="E18" s="68">
        <f>(Parâmetros!$D$13+Parâmetros!$D$16+Parâmetros!$D$21+Parâmetros!$D$18-Parâmetros!$D$23)</f>
        <v>0</v>
      </c>
      <c r="F18" s="68">
        <f t="shared" si="4"/>
        <v>190759.6</v>
      </c>
      <c r="G18" s="70">
        <f>'NF carvão'!$P$15</f>
        <v>445.64027599999997</v>
      </c>
      <c r="H18" s="70">
        <f t="shared" si="1"/>
        <v>85010160.790000007</v>
      </c>
      <c r="I18" s="71"/>
      <c r="K18" s="70">
        <f t="shared" ref="K18" si="11">H18</f>
        <v>85010160.790000007</v>
      </c>
      <c r="L18" s="70">
        <f>Secund!I19</f>
        <v>0</v>
      </c>
      <c r="M18" s="70">
        <f>Secund!S19</f>
        <v>654851.19121560012</v>
      </c>
      <c r="N18" s="70">
        <f>Tributos!L18</f>
        <v>0</v>
      </c>
      <c r="O18" s="70">
        <f t="shared" si="2"/>
        <v>85665011.981215611</v>
      </c>
      <c r="P18" s="70">
        <f>Parâmetros!$D$25</f>
        <v>114115071.47666667</v>
      </c>
      <c r="Q18" s="168">
        <f t="shared" si="9"/>
        <v>85665011.981215611</v>
      </c>
      <c r="S18" s="32"/>
    </row>
    <row r="19" spans="2:19" ht="22.5" customHeight="1" x14ac:dyDescent="0.35">
      <c r="M19" s="10"/>
      <c r="Q19" s="32"/>
    </row>
    <row r="20" spans="2:19" x14ac:dyDescent="0.35">
      <c r="H20" s="56"/>
      <c r="I20" s="52"/>
    </row>
    <row r="21" spans="2:19" x14ac:dyDescent="0.35">
      <c r="B21" s="11" t="s">
        <v>130</v>
      </c>
    </row>
    <row r="22" spans="2:19" x14ac:dyDescent="0.35">
      <c r="B22" s="12" t="s">
        <v>131</v>
      </c>
    </row>
    <row r="23" spans="2:19" x14ac:dyDescent="0.35">
      <c r="B23" s="11" t="s">
        <v>132</v>
      </c>
      <c r="M23" s="70"/>
    </row>
  </sheetData>
  <mergeCells count="4">
    <mergeCell ref="B5:I5"/>
    <mergeCell ref="K5:Q5"/>
    <mergeCell ref="B1:P3"/>
    <mergeCell ref="Q1:Q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"/>
  <dimension ref="B1:W372"/>
  <sheetViews>
    <sheetView showGridLines="0" topLeftCell="A350" zoomScale="80" zoomScaleNormal="80" workbookViewId="0">
      <selection activeCell="G373" sqref="G373"/>
    </sheetView>
  </sheetViews>
  <sheetFormatPr defaultRowHeight="14.5" x14ac:dyDescent="0.35"/>
  <cols>
    <col min="1" max="1" width="3" customWidth="1"/>
    <col min="2" max="2" width="45.81640625" customWidth="1"/>
    <col min="3" max="3" width="14.7265625" customWidth="1"/>
    <col min="4" max="4" width="12.54296875" bestFit="1" customWidth="1"/>
    <col min="5" max="5" width="14.7265625" bestFit="1" customWidth="1"/>
    <col min="6" max="6" width="17" customWidth="1"/>
    <col min="7" max="7" width="21.7265625" customWidth="1"/>
    <col min="8" max="8" width="12" bestFit="1" customWidth="1"/>
    <col min="9" max="9" width="19" bestFit="1" customWidth="1"/>
    <col min="10" max="10" width="19" customWidth="1"/>
    <col min="11" max="11" width="15.7265625" hidden="1" customWidth="1"/>
    <col min="12" max="12" width="18.7265625" hidden="1" customWidth="1"/>
    <col min="13" max="14" width="15.7265625" hidden="1" customWidth="1"/>
    <col min="15" max="17" width="15.7265625" customWidth="1"/>
    <col min="18" max="18" width="33.26953125" bestFit="1" customWidth="1"/>
    <col min="19" max="19" width="17.453125" bestFit="1" customWidth="1"/>
    <col min="20" max="20" width="15.26953125" bestFit="1" customWidth="1"/>
    <col min="21" max="22" width="15.7265625" customWidth="1"/>
  </cols>
  <sheetData>
    <row r="1" spans="2:22" ht="15" customHeight="1" x14ac:dyDescent="0.35">
      <c r="B1" s="260" t="s">
        <v>129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0"/>
    </row>
    <row r="2" spans="2:22" x14ac:dyDescent="0.35"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</row>
    <row r="3" spans="2:22" x14ac:dyDescent="0.35"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</row>
    <row r="4" spans="2:22" x14ac:dyDescent="0.35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6" spans="2:22" s="8" customFormat="1" ht="30.75" customHeight="1" x14ac:dyDescent="0.35">
      <c r="B6" s="261" t="s">
        <v>69</v>
      </c>
      <c r="C6" s="261"/>
      <c r="D6" s="261"/>
      <c r="E6" s="261"/>
      <c r="F6" s="266" t="s">
        <v>110</v>
      </c>
      <c r="G6" s="266"/>
      <c r="I6" s="74" t="s">
        <v>123</v>
      </c>
      <c r="J6" s="74" t="s">
        <v>63</v>
      </c>
      <c r="K6" s="74" t="s">
        <v>220</v>
      </c>
      <c r="L6" s="74" t="s">
        <v>228</v>
      </c>
      <c r="M6" s="74" t="s">
        <v>221</v>
      </c>
      <c r="N6" s="74" t="s">
        <v>233</v>
      </c>
      <c r="O6" s="74" t="s">
        <v>250</v>
      </c>
      <c r="P6" s="74" t="s">
        <v>251</v>
      </c>
      <c r="Q6" s="74" t="s">
        <v>210</v>
      </c>
    </row>
    <row r="7" spans="2:22" x14ac:dyDescent="0.35">
      <c r="B7" s="62" t="s">
        <v>63</v>
      </c>
      <c r="C7" s="62" t="s">
        <v>104</v>
      </c>
      <c r="D7" s="62" t="s">
        <v>65</v>
      </c>
      <c r="E7" s="62" t="s">
        <v>66</v>
      </c>
      <c r="F7" s="74" t="s">
        <v>64</v>
      </c>
      <c r="G7" s="75" t="s">
        <v>67</v>
      </c>
      <c r="I7" s="76" t="s">
        <v>227</v>
      </c>
      <c r="J7" s="192" t="s">
        <v>106</v>
      </c>
      <c r="K7" s="76">
        <v>327.52</v>
      </c>
      <c r="L7" s="76">
        <f>ROUND(K7*(1+10.06%),2)</f>
        <v>360.47</v>
      </c>
      <c r="M7" s="77">
        <v>377</v>
      </c>
      <c r="N7" s="169">
        <f>(M7*5.79%)+M7</f>
        <v>398.82830000000001</v>
      </c>
      <c r="O7" s="169">
        <f>(N7*4.62%)+N7</f>
        <v>417.25416746000002</v>
      </c>
      <c r="P7" s="211">
        <f t="shared" ref="P7:P11" si="0">(O7*4.83%)+O7</f>
        <v>437.40754374831801</v>
      </c>
      <c r="Q7" s="76">
        <v>42750</v>
      </c>
      <c r="R7" s="51"/>
    </row>
    <row r="8" spans="2:22" x14ac:dyDescent="0.35">
      <c r="B8" s="76" t="s">
        <v>275</v>
      </c>
      <c r="C8" s="78">
        <v>45688</v>
      </c>
      <c r="D8" s="76">
        <v>39430</v>
      </c>
      <c r="E8" s="79">
        <v>5500</v>
      </c>
      <c r="F8" s="80">
        <v>449.01</v>
      </c>
      <c r="G8" s="81">
        <f>E8*F8</f>
        <v>2469555</v>
      </c>
      <c r="I8" s="76" t="s">
        <v>222</v>
      </c>
      <c r="J8" s="192" t="s">
        <v>105</v>
      </c>
      <c r="K8" s="76">
        <v>342.66</v>
      </c>
      <c r="L8" s="76">
        <f>ROUND(K8*(1+10.06%),2)</f>
        <v>377.13</v>
      </c>
      <c r="M8" s="77">
        <v>387</v>
      </c>
      <c r="N8" s="169">
        <f t="shared" ref="N8:N12" si="1">(M8*5.79%)+M8</f>
        <v>409.40730000000002</v>
      </c>
      <c r="O8" s="169">
        <f t="shared" ref="O8:O12" si="2">(N8*4.62%)+N8</f>
        <v>428.32191726000002</v>
      </c>
      <c r="P8" s="211">
        <f t="shared" si="0"/>
        <v>449.00986586365804</v>
      </c>
      <c r="Q8" s="76">
        <v>42750</v>
      </c>
      <c r="R8" s="51"/>
    </row>
    <row r="9" spans="2:22" x14ac:dyDescent="0.35">
      <c r="B9" s="76" t="s">
        <v>276</v>
      </c>
      <c r="C9" s="78">
        <v>45688</v>
      </c>
      <c r="D9" s="76">
        <v>105303</v>
      </c>
      <c r="E9" s="79">
        <v>5500</v>
      </c>
      <c r="F9" s="80">
        <v>448.14</v>
      </c>
      <c r="G9" s="81">
        <f t="shared" ref="G9:G38" si="3">E9*F9</f>
        <v>2464770</v>
      </c>
      <c r="I9" s="76" t="s">
        <v>224</v>
      </c>
      <c r="J9" s="192" t="s">
        <v>107</v>
      </c>
      <c r="K9" s="76">
        <v>332.02</v>
      </c>
      <c r="L9" s="76">
        <f>ROUND(K9*(1+10.06%),2)</f>
        <v>365.42</v>
      </c>
      <c r="M9" s="77">
        <v>376</v>
      </c>
      <c r="N9" s="169">
        <f t="shared" si="1"/>
        <v>397.7704</v>
      </c>
      <c r="O9" s="169">
        <f t="shared" si="2"/>
        <v>416.14739248000001</v>
      </c>
      <c r="P9" s="211">
        <f t="shared" si="0"/>
        <v>436.24731153678403</v>
      </c>
      <c r="Q9" s="76">
        <v>5000</v>
      </c>
      <c r="R9" s="51"/>
    </row>
    <row r="10" spans="2:22" x14ac:dyDescent="0.35">
      <c r="B10" s="76" t="s">
        <v>277</v>
      </c>
      <c r="C10" s="78">
        <v>45688</v>
      </c>
      <c r="D10" s="76">
        <v>958</v>
      </c>
      <c r="E10" s="79">
        <v>5000</v>
      </c>
      <c r="F10" s="80">
        <v>436.25</v>
      </c>
      <c r="G10" s="81">
        <f t="shared" si="3"/>
        <v>2181250</v>
      </c>
      <c r="I10" s="76" t="s">
        <v>223</v>
      </c>
      <c r="J10" s="192" t="s">
        <v>108</v>
      </c>
      <c r="K10" s="76">
        <v>340.75</v>
      </c>
      <c r="L10" s="76">
        <f t="shared" ref="L10:L12" si="4">ROUND(K10*(1+10.06%),2)</f>
        <v>375.03</v>
      </c>
      <c r="M10" s="77">
        <v>387</v>
      </c>
      <c r="N10" s="169">
        <f t="shared" si="1"/>
        <v>409.40730000000002</v>
      </c>
      <c r="O10" s="169">
        <f t="shared" si="2"/>
        <v>428.32191726000002</v>
      </c>
      <c r="P10" s="211">
        <f t="shared" si="0"/>
        <v>449.00986586365804</v>
      </c>
      <c r="Q10" s="76">
        <v>52250</v>
      </c>
      <c r="R10" s="51"/>
    </row>
    <row r="11" spans="2:22" x14ac:dyDescent="0.35">
      <c r="B11" s="76" t="s">
        <v>275</v>
      </c>
      <c r="C11" s="78">
        <v>45693</v>
      </c>
      <c r="D11" s="76">
        <v>39461</v>
      </c>
      <c r="E11" s="79">
        <v>1250</v>
      </c>
      <c r="F11" s="80">
        <v>449.01</v>
      </c>
      <c r="G11" s="81">
        <f t="shared" si="3"/>
        <v>561262.5</v>
      </c>
      <c r="I11" s="76" t="s">
        <v>225</v>
      </c>
      <c r="J11" s="192" t="s">
        <v>109</v>
      </c>
      <c r="K11" s="76">
        <v>340.1</v>
      </c>
      <c r="L11" s="76">
        <f t="shared" si="4"/>
        <v>374.31</v>
      </c>
      <c r="M11" s="77">
        <v>386.25</v>
      </c>
      <c r="N11" s="169">
        <f t="shared" si="1"/>
        <v>408.61387500000001</v>
      </c>
      <c r="O11" s="169">
        <f t="shared" si="2"/>
        <v>427.491836025</v>
      </c>
      <c r="P11" s="211">
        <f t="shared" si="0"/>
        <v>448.13969170500752</v>
      </c>
      <c r="Q11" s="76">
        <v>52250</v>
      </c>
      <c r="R11" s="51"/>
    </row>
    <row r="12" spans="2:22" x14ac:dyDescent="0.35">
      <c r="B12" s="76" t="s">
        <v>278</v>
      </c>
      <c r="C12" s="78">
        <v>45693</v>
      </c>
      <c r="D12" s="76">
        <v>79436</v>
      </c>
      <c r="E12" s="79">
        <v>4883.84</v>
      </c>
      <c r="F12" s="80">
        <v>437.4</v>
      </c>
      <c r="G12" s="81">
        <f t="shared" si="3"/>
        <v>2136191.6159999999</v>
      </c>
      <c r="I12" s="221" t="s">
        <v>226</v>
      </c>
      <c r="J12" s="222" t="s">
        <v>274</v>
      </c>
      <c r="K12" s="223">
        <v>330.57</v>
      </c>
      <c r="L12" s="223">
        <f t="shared" si="4"/>
        <v>363.83</v>
      </c>
      <c r="M12" s="224">
        <v>377</v>
      </c>
      <c r="N12" s="224">
        <f t="shared" si="1"/>
        <v>398.82830000000001</v>
      </c>
      <c r="O12" s="225">
        <f t="shared" si="2"/>
        <v>417.25416746000002</v>
      </c>
      <c r="P12" s="225"/>
      <c r="Q12" s="222"/>
      <c r="R12" s="51"/>
      <c r="S12" s="10"/>
    </row>
    <row r="13" spans="2:22" x14ac:dyDescent="0.35">
      <c r="B13" s="76" t="s">
        <v>276</v>
      </c>
      <c r="C13" s="78">
        <v>45688</v>
      </c>
      <c r="D13" s="76">
        <v>105301</v>
      </c>
      <c r="E13" s="79">
        <v>18730</v>
      </c>
      <c r="F13" s="80">
        <v>448.14</v>
      </c>
      <c r="G13" s="81">
        <f t="shared" si="3"/>
        <v>8393662.1999999993</v>
      </c>
      <c r="I13" s="76" t="s">
        <v>270</v>
      </c>
      <c r="J13" s="192" t="s">
        <v>271</v>
      </c>
      <c r="K13" s="76"/>
      <c r="L13" s="76"/>
      <c r="M13" s="77"/>
      <c r="N13" s="169"/>
      <c r="O13" s="169">
        <v>0</v>
      </c>
      <c r="P13" s="211">
        <v>435.04</v>
      </c>
      <c r="Q13" s="76">
        <f>48000/12</f>
        <v>4000</v>
      </c>
      <c r="R13" s="57"/>
    </row>
    <row r="14" spans="2:22" x14ac:dyDescent="0.35">
      <c r="B14" s="76" t="s">
        <v>275</v>
      </c>
      <c r="C14" s="78">
        <v>45677</v>
      </c>
      <c r="D14" s="76">
        <v>39316</v>
      </c>
      <c r="E14" s="79">
        <v>10000</v>
      </c>
      <c r="F14" s="80">
        <v>449.01</v>
      </c>
      <c r="G14" s="81">
        <f t="shared" si="3"/>
        <v>4490100</v>
      </c>
      <c r="I14" s="76" t="s">
        <v>272</v>
      </c>
      <c r="J14" s="192" t="s">
        <v>273</v>
      </c>
      <c r="K14" s="76"/>
      <c r="L14" s="76"/>
      <c r="M14" s="77"/>
      <c r="N14" s="169"/>
      <c r="O14" s="169">
        <v>0</v>
      </c>
      <c r="P14" s="211">
        <v>436.25</v>
      </c>
      <c r="Q14" s="76">
        <v>1000</v>
      </c>
      <c r="R14" s="7"/>
      <c r="T14" s="7"/>
    </row>
    <row r="15" spans="2:22" x14ac:dyDescent="0.35">
      <c r="B15" s="76" t="s">
        <v>276</v>
      </c>
      <c r="C15" s="78">
        <v>45688</v>
      </c>
      <c r="D15" s="76">
        <v>10063</v>
      </c>
      <c r="E15" s="79">
        <v>210</v>
      </c>
      <c r="F15" s="80">
        <v>448.14</v>
      </c>
      <c r="G15" s="81">
        <f t="shared" si="3"/>
        <v>94109.4</v>
      </c>
      <c r="I15" s="265" t="s">
        <v>124</v>
      </c>
      <c r="J15" s="265"/>
      <c r="K15" s="81">
        <f>ROUND(($K$7*$Q$7+$K$8*$Q$8+$K$9*$Q$9+$K$10*$Q$10+$K$11*$Q$11+$K$12*$Q$12)/SUM($Q$7:$Q$12),6)</f>
        <v>337.870295</v>
      </c>
      <c r="L15" s="86">
        <f>ROUND(($L$7*$Q$7+$L$8*$Q$8+$L$9*$Q$9+$L$10*$Q$10+$L$11*$Q$11+$L$12*$Q$12)/SUM($Q$7:$Q$12),6)</f>
        <v>371.85905100000002</v>
      </c>
      <c r="M15" s="81">
        <f>ROUND((M7*Q7+M8*Q8+M9*Q9+M10*Q10+M11*Q11+M12*Q12)/SUM(Q7:Q12),6)</f>
        <v>384.324679</v>
      </c>
      <c r="N15" s="87">
        <f>ROUND((N7*Q7+N8*Q8+N9*Q9+N10*Q10+N11*Q11+N12*Q12)/SUM(Q7:Q12),6)</f>
        <v>406.57707799999997</v>
      </c>
      <c r="O15" s="87">
        <f>ROUND((O7*Q7+O8*Q8+O9*Q9+O10*Q10+O11*Q11+O12*Q12)/SUM(Q7:Q12),6)</f>
        <v>425.36093899999997</v>
      </c>
      <c r="P15" s="87">
        <f>ROUND((P7*Q7+P8*Q8+P9*Q9+P10*Q10+P11*Q11+P13*Q13+P14*Q14)/SUM(Q7:Q14),6)</f>
        <v>445.64027599999997</v>
      </c>
      <c r="Q15" s="87"/>
    </row>
    <row r="16" spans="2:22" x14ac:dyDescent="0.35">
      <c r="B16" s="76" t="s">
        <v>275</v>
      </c>
      <c r="C16" s="78">
        <v>45688</v>
      </c>
      <c r="D16" s="76">
        <v>39432</v>
      </c>
      <c r="E16" s="79">
        <v>2500</v>
      </c>
      <c r="F16" s="80">
        <v>449.01</v>
      </c>
      <c r="G16" s="81">
        <f t="shared" si="3"/>
        <v>1122525</v>
      </c>
    </row>
    <row r="17" spans="2:23" x14ac:dyDescent="0.35">
      <c r="B17" s="76" t="s">
        <v>278</v>
      </c>
      <c r="C17" s="78">
        <v>45663</v>
      </c>
      <c r="D17" s="76">
        <v>79254</v>
      </c>
      <c r="E17" s="79">
        <v>1056.33</v>
      </c>
      <c r="F17" s="80">
        <v>417.25</v>
      </c>
      <c r="G17" s="81">
        <f t="shared" si="3"/>
        <v>440753.69249999995</v>
      </c>
      <c r="U17" s="7"/>
      <c r="V17" s="7"/>
      <c r="W17" s="7"/>
    </row>
    <row r="18" spans="2:23" x14ac:dyDescent="0.35">
      <c r="B18" s="76" t="s">
        <v>275</v>
      </c>
      <c r="C18" s="78">
        <v>45684</v>
      </c>
      <c r="D18" s="76">
        <v>39367</v>
      </c>
      <c r="E18" s="79">
        <v>8000</v>
      </c>
      <c r="F18" s="80">
        <v>449.01</v>
      </c>
      <c r="G18" s="81">
        <f t="shared" si="3"/>
        <v>3592080</v>
      </c>
      <c r="U18" s="7"/>
      <c r="V18" s="7"/>
      <c r="W18" s="7"/>
    </row>
    <row r="19" spans="2:23" s="7" customFormat="1" x14ac:dyDescent="0.35">
      <c r="B19" s="76" t="s">
        <v>275</v>
      </c>
      <c r="C19" s="78">
        <v>45688</v>
      </c>
      <c r="D19" s="76">
        <v>39431</v>
      </c>
      <c r="E19" s="79">
        <v>1000</v>
      </c>
      <c r="F19" s="80">
        <v>449.01</v>
      </c>
      <c r="G19" s="81">
        <f t="shared" si="3"/>
        <v>449010</v>
      </c>
      <c r="I19"/>
      <c r="J19"/>
      <c r="K19"/>
      <c r="L19"/>
      <c r="M19" s="52"/>
      <c r="N19"/>
      <c r="O19"/>
      <c r="P19" s="10"/>
      <c r="S19" s="52"/>
      <c r="T19" s="37"/>
    </row>
    <row r="20" spans="2:23" s="7" customFormat="1" x14ac:dyDescent="0.35">
      <c r="B20" s="76" t="s">
        <v>275</v>
      </c>
      <c r="C20" s="78">
        <v>45688</v>
      </c>
      <c r="D20" s="76">
        <v>39428</v>
      </c>
      <c r="E20" s="79">
        <v>1</v>
      </c>
      <c r="F20" s="80">
        <v>103450</v>
      </c>
      <c r="G20" s="81">
        <f t="shared" si="3"/>
        <v>103450</v>
      </c>
      <c r="I20"/>
      <c r="J20"/>
      <c r="K20"/>
      <c r="L20"/>
      <c r="M20" s="52"/>
      <c r="N20" s="52"/>
      <c r="O20" s="52"/>
      <c r="P20" s="10"/>
      <c r="R20"/>
      <c r="S20"/>
      <c r="T20"/>
    </row>
    <row r="21" spans="2:23" s="7" customFormat="1" x14ac:dyDescent="0.35">
      <c r="B21" s="76" t="s">
        <v>275</v>
      </c>
      <c r="C21" s="78">
        <v>45677</v>
      </c>
      <c r="D21" s="76">
        <v>39317</v>
      </c>
      <c r="E21" s="79">
        <v>5000</v>
      </c>
      <c r="F21" s="80">
        <v>449.01</v>
      </c>
      <c r="G21" s="81">
        <f t="shared" si="3"/>
        <v>2245050</v>
      </c>
      <c r="I21"/>
      <c r="J21"/>
      <c r="K21"/>
      <c r="P21" s="10"/>
      <c r="R21"/>
      <c r="S21"/>
      <c r="T21"/>
    </row>
    <row r="22" spans="2:23" x14ac:dyDescent="0.35">
      <c r="B22" s="76" t="s">
        <v>275</v>
      </c>
      <c r="C22" s="78">
        <v>45672</v>
      </c>
      <c r="D22" s="76">
        <v>39292</v>
      </c>
      <c r="E22" s="79">
        <v>8000</v>
      </c>
      <c r="F22" s="80">
        <v>449.01</v>
      </c>
      <c r="G22" s="81">
        <f t="shared" si="3"/>
        <v>3592080</v>
      </c>
      <c r="L22" s="7"/>
      <c r="M22" s="7"/>
      <c r="N22" s="7"/>
      <c r="O22" s="7"/>
      <c r="P22" s="10"/>
      <c r="Q22" s="7"/>
      <c r="R22" s="32"/>
    </row>
    <row r="23" spans="2:23" x14ac:dyDescent="0.35">
      <c r="B23" s="76" t="s">
        <v>275</v>
      </c>
      <c r="C23" s="78">
        <v>45664</v>
      </c>
      <c r="D23" s="76">
        <v>39224</v>
      </c>
      <c r="E23" s="79">
        <v>5000</v>
      </c>
      <c r="F23" s="80">
        <v>428.32</v>
      </c>
      <c r="G23" s="81">
        <f t="shared" si="3"/>
        <v>2141600</v>
      </c>
      <c r="L23" s="7"/>
      <c r="M23" s="7"/>
      <c r="N23" s="7"/>
      <c r="O23" s="7"/>
      <c r="P23" s="7"/>
      <c r="U23" s="7"/>
      <c r="V23" s="7"/>
      <c r="W23" s="7"/>
    </row>
    <row r="24" spans="2:23" x14ac:dyDescent="0.35">
      <c r="B24" s="76" t="s">
        <v>276</v>
      </c>
      <c r="C24" s="78">
        <v>45688</v>
      </c>
      <c r="D24" s="76">
        <v>70887</v>
      </c>
      <c r="E24" s="79">
        <v>27810</v>
      </c>
      <c r="F24" s="80">
        <v>448.14</v>
      </c>
      <c r="G24" s="81">
        <f t="shared" si="3"/>
        <v>12462773.4</v>
      </c>
    </row>
    <row r="25" spans="2:23" x14ac:dyDescent="0.35">
      <c r="B25" s="76" t="s">
        <v>275</v>
      </c>
      <c r="C25" s="78">
        <v>45687</v>
      </c>
      <c r="D25" s="76">
        <v>39413</v>
      </c>
      <c r="E25" s="79">
        <v>6000</v>
      </c>
      <c r="F25" s="80">
        <v>449.01</v>
      </c>
      <c r="G25" s="81">
        <f t="shared" si="3"/>
        <v>2694060</v>
      </c>
      <c r="U25" s="7"/>
      <c r="V25" s="7"/>
      <c r="W25" s="7"/>
    </row>
    <row r="26" spans="2:23" x14ac:dyDescent="0.35">
      <c r="B26" s="76" t="s">
        <v>279</v>
      </c>
      <c r="C26" s="78">
        <v>45646</v>
      </c>
      <c r="D26" s="76">
        <v>27357</v>
      </c>
      <c r="E26" s="79">
        <v>2000</v>
      </c>
      <c r="F26" s="80">
        <v>428.32</v>
      </c>
      <c r="G26" s="81">
        <f t="shared" si="3"/>
        <v>856640</v>
      </c>
      <c r="U26" s="7"/>
      <c r="V26" s="7"/>
      <c r="W26" s="7"/>
    </row>
    <row r="27" spans="2:23" s="7" customFormat="1" x14ac:dyDescent="0.35">
      <c r="B27" s="76" t="s">
        <v>279</v>
      </c>
      <c r="C27" s="78">
        <v>45663</v>
      </c>
      <c r="D27" s="76">
        <v>27390</v>
      </c>
      <c r="E27" s="79">
        <v>1937.69</v>
      </c>
      <c r="F27" s="80">
        <v>428.32</v>
      </c>
      <c r="G27" s="81">
        <f t="shared" si="3"/>
        <v>829951.38080000004</v>
      </c>
      <c r="I27"/>
      <c r="J27"/>
      <c r="K27"/>
      <c r="L27"/>
      <c r="M27" s="52"/>
      <c r="N27"/>
      <c r="O27"/>
      <c r="P27" s="10"/>
      <c r="S27" s="52"/>
      <c r="T27" s="37"/>
    </row>
    <row r="28" spans="2:23" s="7" customFormat="1" x14ac:dyDescent="0.35">
      <c r="B28" s="76" t="s">
        <v>279</v>
      </c>
      <c r="C28" s="78">
        <v>45659</v>
      </c>
      <c r="D28" s="76">
        <v>27385</v>
      </c>
      <c r="E28" s="79">
        <v>6000</v>
      </c>
      <c r="F28" s="80">
        <v>428.32</v>
      </c>
      <c r="G28" s="81">
        <f t="shared" si="3"/>
        <v>2569920</v>
      </c>
      <c r="I28"/>
      <c r="J28"/>
      <c r="K28"/>
      <c r="L28"/>
      <c r="M28" s="52"/>
      <c r="N28" s="52"/>
      <c r="O28" s="52"/>
      <c r="P28" s="10"/>
      <c r="R28"/>
      <c r="S28"/>
      <c r="T28"/>
    </row>
    <row r="29" spans="2:23" s="7" customFormat="1" x14ac:dyDescent="0.35">
      <c r="B29" s="76" t="s">
        <v>279</v>
      </c>
      <c r="C29" s="78">
        <v>45665</v>
      </c>
      <c r="D29" s="76">
        <v>27412</v>
      </c>
      <c r="E29" s="79">
        <v>6000</v>
      </c>
      <c r="F29" s="80">
        <v>428.32</v>
      </c>
      <c r="G29" s="81">
        <f t="shared" si="3"/>
        <v>2569920</v>
      </c>
      <c r="I29"/>
      <c r="J29"/>
      <c r="K29"/>
      <c r="P29" s="10"/>
      <c r="R29"/>
      <c r="S29"/>
      <c r="T29"/>
    </row>
    <row r="30" spans="2:23" x14ac:dyDescent="0.35">
      <c r="B30" s="76" t="s">
        <v>279</v>
      </c>
      <c r="C30" s="78">
        <v>45670</v>
      </c>
      <c r="D30" s="76">
        <v>27458</v>
      </c>
      <c r="E30" s="79">
        <v>1</v>
      </c>
      <c r="F30" s="80">
        <v>124140</v>
      </c>
      <c r="G30" s="81">
        <f t="shared" si="3"/>
        <v>124140</v>
      </c>
      <c r="L30" s="7"/>
      <c r="M30" s="7"/>
      <c r="N30" s="7"/>
      <c r="O30" s="7"/>
      <c r="P30" s="10"/>
      <c r="Q30" s="7"/>
      <c r="R30" s="32"/>
    </row>
    <row r="31" spans="2:23" x14ac:dyDescent="0.35">
      <c r="B31" s="76" t="s">
        <v>279</v>
      </c>
      <c r="C31" s="78">
        <v>45670</v>
      </c>
      <c r="D31" s="76">
        <v>27459</v>
      </c>
      <c r="E31" s="79">
        <v>1</v>
      </c>
      <c r="F31" s="80">
        <v>124140</v>
      </c>
      <c r="G31" s="81">
        <f t="shared" ref="G31:G37" si="5">E31*F31</f>
        <v>124140</v>
      </c>
    </row>
    <row r="32" spans="2:23" x14ac:dyDescent="0.35">
      <c r="B32" s="76" t="s">
        <v>279</v>
      </c>
      <c r="C32" s="78">
        <v>45671</v>
      </c>
      <c r="D32" s="76">
        <v>27479</v>
      </c>
      <c r="E32" s="79">
        <v>6000</v>
      </c>
      <c r="F32" s="80">
        <v>449.01</v>
      </c>
      <c r="G32" s="81">
        <f t="shared" si="5"/>
        <v>2694060</v>
      </c>
      <c r="U32" s="7"/>
      <c r="V32" s="7"/>
      <c r="W32" s="7"/>
    </row>
    <row r="33" spans="2:23" x14ac:dyDescent="0.35">
      <c r="B33" s="76" t="s">
        <v>279</v>
      </c>
      <c r="C33" s="78">
        <v>45678</v>
      </c>
      <c r="D33" s="76">
        <v>27508</v>
      </c>
      <c r="E33" s="79">
        <v>8000</v>
      </c>
      <c r="F33" s="80">
        <v>449.01</v>
      </c>
      <c r="G33" s="81">
        <f t="shared" si="5"/>
        <v>3592080</v>
      </c>
      <c r="U33" s="7"/>
      <c r="V33" s="7"/>
      <c r="W33" s="7"/>
    </row>
    <row r="34" spans="2:23" s="7" customFormat="1" x14ac:dyDescent="0.35">
      <c r="B34" s="76" t="s">
        <v>279</v>
      </c>
      <c r="C34" s="78">
        <v>45681</v>
      </c>
      <c r="D34" s="76">
        <v>27548</v>
      </c>
      <c r="E34" s="79">
        <v>4000</v>
      </c>
      <c r="F34" s="80">
        <v>449.01</v>
      </c>
      <c r="G34" s="81">
        <f t="shared" si="5"/>
        <v>1796040</v>
      </c>
      <c r="I34"/>
      <c r="J34"/>
      <c r="K34"/>
      <c r="L34"/>
      <c r="M34" s="52"/>
      <c r="N34"/>
      <c r="O34"/>
      <c r="P34" s="10"/>
      <c r="S34" s="52"/>
      <c r="T34" s="37"/>
    </row>
    <row r="35" spans="2:23" s="7" customFormat="1" x14ac:dyDescent="0.35">
      <c r="B35" s="76" t="s">
        <v>279</v>
      </c>
      <c r="C35" s="78">
        <v>45686</v>
      </c>
      <c r="D35" s="76">
        <v>27578</v>
      </c>
      <c r="E35" s="79">
        <v>3500</v>
      </c>
      <c r="F35" s="80">
        <v>449.01</v>
      </c>
      <c r="G35" s="81">
        <f t="shared" si="5"/>
        <v>1571535</v>
      </c>
      <c r="I35"/>
      <c r="J35"/>
      <c r="K35"/>
      <c r="L35"/>
      <c r="M35" s="52"/>
      <c r="N35" s="52"/>
      <c r="O35" s="52"/>
      <c r="P35" s="10"/>
      <c r="R35"/>
      <c r="S35"/>
      <c r="T35"/>
    </row>
    <row r="36" spans="2:23" s="7" customFormat="1" x14ac:dyDescent="0.35">
      <c r="B36" s="76" t="s">
        <v>279</v>
      </c>
      <c r="C36" s="78">
        <v>45693</v>
      </c>
      <c r="D36" s="76">
        <v>27618</v>
      </c>
      <c r="E36" s="79">
        <v>948.28</v>
      </c>
      <c r="F36" s="80">
        <v>449.01</v>
      </c>
      <c r="G36" s="81">
        <f t="shared" si="5"/>
        <v>425787.20279999997</v>
      </c>
      <c r="I36"/>
      <c r="J36"/>
      <c r="K36"/>
      <c r="P36" s="10"/>
      <c r="R36"/>
      <c r="S36"/>
      <c r="T36"/>
    </row>
    <row r="37" spans="2:23" x14ac:dyDescent="0.35">
      <c r="B37" s="76" t="s">
        <v>278</v>
      </c>
      <c r="C37" s="78">
        <v>45688</v>
      </c>
      <c r="D37" s="76">
        <v>79402</v>
      </c>
      <c r="E37" s="79">
        <v>36400</v>
      </c>
      <c r="F37" s="80">
        <v>437.4</v>
      </c>
      <c r="G37" s="81">
        <f t="shared" si="5"/>
        <v>15921360</v>
      </c>
      <c r="L37" s="7"/>
      <c r="M37" s="7"/>
      <c r="N37" s="7"/>
      <c r="O37" s="7"/>
      <c r="P37" s="10"/>
      <c r="Q37" s="7"/>
      <c r="R37" s="32"/>
    </row>
    <row r="38" spans="2:23" x14ac:dyDescent="0.35">
      <c r="B38" s="76" t="s">
        <v>280</v>
      </c>
      <c r="C38" s="78">
        <v>45687</v>
      </c>
      <c r="D38" s="76">
        <v>1508</v>
      </c>
      <c r="E38" s="79">
        <v>1890.72</v>
      </c>
      <c r="F38" s="80">
        <v>436.25</v>
      </c>
      <c r="G38" s="81">
        <f t="shared" si="3"/>
        <v>824826.6</v>
      </c>
      <c r="I38" s="7"/>
      <c r="J38" s="7"/>
      <c r="K38" s="7"/>
      <c r="L38" s="7"/>
      <c r="M38" s="7"/>
      <c r="N38" s="7"/>
      <c r="O38" s="7"/>
      <c r="P38" s="7"/>
      <c r="Q38" s="7"/>
      <c r="R38" s="55"/>
      <c r="U38" s="7"/>
      <c r="V38" s="7"/>
      <c r="W38" s="7"/>
    </row>
    <row r="39" spans="2:23" x14ac:dyDescent="0.35">
      <c r="B39" s="264" t="s">
        <v>68</v>
      </c>
      <c r="C39" s="264"/>
      <c r="D39" s="264"/>
      <c r="E39" s="83">
        <f>SUM(E8:E38)</f>
        <v>192119.86</v>
      </c>
      <c r="F39" s="84">
        <f>IFERROR((G39/E39),0)</f>
        <v>445.21520571636898</v>
      </c>
      <c r="G39" s="85">
        <f>SUM(G8:G38)</f>
        <v>85534682.9921</v>
      </c>
    </row>
    <row r="40" spans="2:23" x14ac:dyDescent="0.35">
      <c r="Q40" s="212"/>
      <c r="R40" s="212"/>
    </row>
    <row r="41" spans="2:23" ht="25.5" customHeight="1" x14ac:dyDescent="0.35">
      <c r="B41" s="261" t="s">
        <v>69</v>
      </c>
      <c r="C41" s="261"/>
      <c r="D41" s="261"/>
      <c r="E41" s="261"/>
      <c r="F41" s="266" t="s">
        <v>111</v>
      </c>
      <c r="G41" s="266"/>
      <c r="K41" s="55"/>
    </row>
    <row r="42" spans="2:23" x14ac:dyDescent="0.35">
      <c r="B42" s="62" t="s">
        <v>63</v>
      </c>
      <c r="C42" s="62" t="s">
        <v>104</v>
      </c>
      <c r="D42" s="62" t="s">
        <v>65</v>
      </c>
      <c r="E42" s="62" t="s">
        <v>66</v>
      </c>
      <c r="F42" s="74" t="s">
        <v>64</v>
      </c>
      <c r="G42" s="75" t="s">
        <v>67</v>
      </c>
      <c r="K42" s="55"/>
      <c r="M42" s="55"/>
      <c r="N42" s="55"/>
      <c r="O42" s="55"/>
      <c r="P42" s="55"/>
    </row>
    <row r="43" spans="2:23" x14ac:dyDescent="0.35">
      <c r="B43" s="76" t="s">
        <v>278</v>
      </c>
      <c r="C43" s="78">
        <v>45714</v>
      </c>
      <c r="D43" s="76">
        <v>79558</v>
      </c>
      <c r="E43" s="79">
        <v>33000</v>
      </c>
      <c r="F43" s="80">
        <v>437.4</v>
      </c>
      <c r="G43" s="81">
        <f>E43*F43</f>
        <v>14434200</v>
      </c>
    </row>
    <row r="44" spans="2:23" x14ac:dyDescent="0.35">
      <c r="B44" s="76" t="s">
        <v>276</v>
      </c>
      <c r="C44" s="78">
        <v>45722</v>
      </c>
      <c r="D44" s="76">
        <v>106737</v>
      </c>
      <c r="E44" s="79">
        <v>130</v>
      </c>
      <c r="F44" s="80">
        <v>448.14</v>
      </c>
      <c r="G44" s="81">
        <f>E44*F44</f>
        <v>58258.2</v>
      </c>
    </row>
    <row r="45" spans="2:23" x14ac:dyDescent="0.35">
      <c r="B45" s="76" t="s">
        <v>277</v>
      </c>
      <c r="C45" s="78">
        <v>45716</v>
      </c>
      <c r="D45" s="76">
        <v>959</v>
      </c>
      <c r="E45" s="79">
        <v>5000</v>
      </c>
      <c r="F45" s="80">
        <v>436.25</v>
      </c>
      <c r="G45" s="81">
        <f>E45*F45</f>
        <v>2181250</v>
      </c>
    </row>
    <row r="46" spans="2:23" x14ac:dyDescent="0.35">
      <c r="B46" s="76" t="s">
        <v>276</v>
      </c>
      <c r="C46" s="78">
        <v>45716</v>
      </c>
      <c r="D46" s="76">
        <v>10069</v>
      </c>
      <c r="E46" s="79">
        <v>750</v>
      </c>
      <c r="F46" s="80">
        <v>448.14</v>
      </c>
      <c r="G46" s="81">
        <f t="shared" ref="G46:G54" si="6">E46*F46</f>
        <v>336105</v>
      </c>
      <c r="K46" s="55"/>
      <c r="L46" s="55"/>
      <c r="M46" s="55"/>
      <c r="N46" s="55"/>
      <c r="O46" s="55"/>
      <c r="P46" s="55"/>
      <c r="Q46" s="55"/>
    </row>
    <row r="47" spans="2:23" x14ac:dyDescent="0.35">
      <c r="B47" s="76" t="s">
        <v>276</v>
      </c>
      <c r="C47" s="78">
        <v>45722</v>
      </c>
      <c r="D47" s="76">
        <v>73673</v>
      </c>
      <c r="E47" s="79">
        <v>2170.6</v>
      </c>
      <c r="F47" s="80">
        <v>448.13999799999999</v>
      </c>
      <c r="G47" s="81">
        <f t="shared" si="6"/>
        <v>972732.6796587999</v>
      </c>
      <c r="K47" s="55"/>
      <c r="L47" s="55"/>
      <c r="M47" s="55"/>
      <c r="N47" s="55"/>
      <c r="O47" s="55"/>
      <c r="P47" s="55"/>
    </row>
    <row r="48" spans="2:23" x14ac:dyDescent="0.35">
      <c r="B48" s="76" t="s">
        <v>278</v>
      </c>
      <c r="C48" s="78">
        <v>45722</v>
      </c>
      <c r="D48" s="76">
        <v>79615</v>
      </c>
      <c r="E48" s="79">
        <v>8810.35</v>
      </c>
      <c r="F48" s="80">
        <v>437.4</v>
      </c>
      <c r="G48" s="81">
        <f t="shared" si="6"/>
        <v>3853647.09</v>
      </c>
      <c r="M48" s="55"/>
      <c r="N48" s="55"/>
      <c r="O48" s="55"/>
      <c r="P48" s="55"/>
    </row>
    <row r="49" spans="2:17" x14ac:dyDescent="0.35">
      <c r="B49" s="76" t="s">
        <v>276</v>
      </c>
      <c r="C49" s="78">
        <v>45716</v>
      </c>
      <c r="D49" s="76">
        <v>106497</v>
      </c>
      <c r="E49" s="79">
        <v>18000</v>
      </c>
      <c r="F49" s="80">
        <v>448.14</v>
      </c>
      <c r="G49" s="81">
        <f t="shared" si="6"/>
        <v>8066520</v>
      </c>
    </row>
    <row r="50" spans="2:17" x14ac:dyDescent="0.35">
      <c r="B50" s="76" t="s">
        <v>276</v>
      </c>
      <c r="C50" s="78">
        <v>45716</v>
      </c>
      <c r="D50" s="76">
        <v>73187</v>
      </c>
      <c r="E50" s="79">
        <v>25850</v>
      </c>
      <c r="F50" s="80">
        <v>448.14</v>
      </c>
      <c r="G50" s="81">
        <f t="shared" si="6"/>
        <v>11584419</v>
      </c>
    </row>
    <row r="51" spans="2:17" x14ac:dyDescent="0.35">
      <c r="B51" s="76" t="s">
        <v>276</v>
      </c>
      <c r="C51" s="78">
        <v>45716</v>
      </c>
      <c r="D51" s="76">
        <v>106498</v>
      </c>
      <c r="E51" s="79">
        <v>3400</v>
      </c>
      <c r="F51" s="80">
        <v>448.14</v>
      </c>
      <c r="G51" s="81">
        <f t="shared" si="6"/>
        <v>1523676</v>
      </c>
    </row>
    <row r="52" spans="2:17" x14ac:dyDescent="0.35">
      <c r="B52" s="76" t="s">
        <v>276</v>
      </c>
      <c r="C52" s="78">
        <v>45722</v>
      </c>
      <c r="D52" s="76">
        <v>106736</v>
      </c>
      <c r="E52" s="79">
        <v>1870</v>
      </c>
      <c r="F52" s="80">
        <v>448.14</v>
      </c>
      <c r="G52" s="81">
        <f t="shared" si="6"/>
        <v>838021.79999999993</v>
      </c>
    </row>
    <row r="53" spans="2:17" x14ac:dyDescent="0.35">
      <c r="B53" s="76" t="s">
        <v>279</v>
      </c>
      <c r="C53" s="78">
        <v>45691</v>
      </c>
      <c r="D53" s="76">
        <v>27603</v>
      </c>
      <c r="E53" s="79">
        <v>10000</v>
      </c>
      <c r="F53" s="80">
        <v>449.01</v>
      </c>
      <c r="G53" s="81">
        <f t="shared" si="6"/>
        <v>4490100</v>
      </c>
      <c r="K53" s="55"/>
      <c r="L53" s="55"/>
    </row>
    <row r="54" spans="2:17" x14ac:dyDescent="0.35">
      <c r="B54" s="76" t="s">
        <v>279</v>
      </c>
      <c r="C54" s="78">
        <v>45699</v>
      </c>
      <c r="D54" s="76">
        <v>27672</v>
      </c>
      <c r="E54" s="79">
        <v>10000</v>
      </c>
      <c r="F54" s="80">
        <v>449.01</v>
      </c>
      <c r="G54" s="81">
        <f t="shared" si="6"/>
        <v>4490100</v>
      </c>
      <c r="K54" s="55"/>
      <c r="L54" s="55"/>
    </row>
    <row r="55" spans="2:17" x14ac:dyDescent="0.35">
      <c r="B55" s="76" t="s">
        <v>279</v>
      </c>
      <c r="C55" s="78">
        <v>45706</v>
      </c>
      <c r="D55" s="76">
        <v>27732</v>
      </c>
      <c r="E55" s="79">
        <v>8000</v>
      </c>
      <c r="F55" s="80">
        <v>449.01</v>
      </c>
      <c r="G55" s="81">
        <f>E55*F55</f>
        <v>3592080</v>
      </c>
    </row>
    <row r="56" spans="2:17" x14ac:dyDescent="0.35">
      <c r="B56" s="76" t="s">
        <v>279</v>
      </c>
      <c r="C56" s="78">
        <v>45712</v>
      </c>
      <c r="D56" s="76">
        <v>27776</v>
      </c>
      <c r="E56" s="79">
        <v>5000</v>
      </c>
      <c r="F56" s="80">
        <v>449.01</v>
      </c>
      <c r="G56" s="81">
        <f>E56*F56</f>
        <v>2245050</v>
      </c>
    </row>
    <row r="57" spans="2:17" x14ac:dyDescent="0.35">
      <c r="B57" s="76" t="s">
        <v>279</v>
      </c>
      <c r="C57" s="78">
        <v>45715</v>
      </c>
      <c r="D57" s="76">
        <v>27801</v>
      </c>
      <c r="E57" s="79">
        <v>3600</v>
      </c>
      <c r="F57" s="80">
        <v>449.01</v>
      </c>
      <c r="G57" s="81">
        <f>E57*F57</f>
        <v>1616436</v>
      </c>
    </row>
    <row r="58" spans="2:17" x14ac:dyDescent="0.35">
      <c r="B58" s="76" t="s">
        <v>279</v>
      </c>
      <c r="C58" s="78">
        <v>45722</v>
      </c>
      <c r="D58" s="76">
        <v>27845</v>
      </c>
      <c r="E58" s="79">
        <v>2092.2399999999998</v>
      </c>
      <c r="F58" s="80">
        <v>449.01</v>
      </c>
      <c r="G58" s="81">
        <f t="shared" ref="G58:G69" si="7">E58*F58</f>
        <v>939436.68239999993</v>
      </c>
      <c r="K58" s="55"/>
      <c r="L58" s="55"/>
      <c r="M58" s="55"/>
      <c r="N58" s="55"/>
      <c r="O58" s="55"/>
      <c r="P58" s="55"/>
      <c r="Q58" s="55"/>
    </row>
    <row r="59" spans="2:17" x14ac:dyDescent="0.35">
      <c r="B59" s="76" t="s">
        <v>280</v>
      </c>
      <c r="C59" s="78">
        <v>45715</v>
      </c>
      <c r="D59" s="76">
        <v>1582</v>
      </c>
      <c r="E59" s="79">
        <v>1430.81</v>
      </c>
      <c r="F59" s="80">
        <v>436.24999800000001</v>
      </c>
      <c r="G59" s="81">
        <f t="shared" si="7"/>
        <v>624190.85963838</v>
      </c>
      <c r="K59" s="55"/>
      <c r="L59" s="55"/>
      <c r="M59" s="55"/>
      <c r="N59" s="55"/>
      <c r="O59" s="55"/>
      <c r="P59" s="55"/>
    </row>
    <row r="60" spans="2:17" x14ac:dyDescent="0.35">
      <c r="B60" s="76" t="s">
        <v>280</v>
      </c>
      <c r="C60" s="78">
        <v>45722</v>
      </c>
      <c r="D60" s="76">
        <v>1606</v>
      </c>
      <c r="E60" s="79">
        <v>678.47</v>
      </c>
      <c r="F60" s="80">
        <v>436.25000299999999</v>
      </c>
      <c r="G60" s="81">
        <f t="shared" si="7"/>
        <v>295982.53953541</v>
      </c>
      <c r="M60" s="55"/>
      <c r="N60" s="55"/>
      <c r="O60" s="55"/>
      <c r="P60" s="55"/>
    </row>
    <row r="61" spans="2:17" x14ac:dyDescent="0.35">
      <c r="B61" s="76" t="s">
        <v>275</v>
      </c>
      <c r="C61" s="78">
        <v>45723</v>
      </c>
      <c r="D61" s="76">
        <v>39690</v>
      </c>
      <c r="E61" s="79">
        <v>3077.97</v>
      </c>
      <c r="F61" s="80">
        <v>449.01</v>
      </c>
      <c r="G61" s="81">
        <f t="shared" si="7"/>
        <v>1382039.3096999999</v>
      </c>
    </row>
    <row r="62" spans="2:17" x14ac:dyDescent="0.35">
      <c r="B62" s="76" t="s">
        <v>275</v>
      </c>
      <c r="C62" s="78">
        <v>45716</v>
      </c>
      <c r="D62" s="76">
        <v>39652</v>
      </c>
      <c r="E62" s="79">
        <v>6000</v>
      </c>
      <c r="F62" s="80">
        <v>449.01</v>
      </c>
      <c r="G62" s="81">
        <f t="shared" si="7"/>
        <v>2694060</v>
      </c>
    </row>
    <row r="63" spans="2:17" x14ac:dyDescent="0.35">
      <c r="B63" s="76" t="s">
        <v>275</v>
      </c>
      <c r="C63" s="78">
        <v>45705</v>
      </c>
      <c r="D63" s="76">
        <v>39536</v>
      </c>
      <c r="E63" s="79">
        <v>14000</v>
      </c>
      <c r="F63" s="80">
        <v>449.01</v>
      </c>
      <c r="G63" s="81">
        <f t="shared" si="7"/>
        <v>6286140</v>
      </c>
    </row>
    <row r="64" spans="2:17" x14ac:dyDescent="0.35">
      <c r="B64" s="76" t="s">
        <v>275</v>
      </c>
      <c r="C64" s="78">
        <v>45716</v>
      </c>
      <c r="D64" s="76">
        <v>39650</v>
      </c>
      <c r="E64" s="79">
        <v>2550</v>
      </c>
      <c r="F64" s="80">
        <v>449.01</v>
      </c>
      <c r="G64" s="81">
        <f t="shared" si="7"/>
        <v>1144975.5</v>
      </c>
    </row>
    <row r="65" spans="2:12" x14ac:dyDescent="0.35">
      <c r="B65" s="76" t="s">
        <v>275</v>
      </c>
      <c r="C65" s="78">
        <v>45713</v>
      </c>
      <c r="D65" s="76">
        <v>39610</v>
      </c>
      <c r="E65" s="79">
        <v>7000</v>
      </c>
      <c r="F65" s="80">
        <v>449.01</v>
      </c>
      <c r="G65" s="81">
        <f t="shared" si="7"/>
        <v>3143070</v>
      </c>
      <c r="K65" s="55"/>
      <c r="L65" s="55"/>
    </row>
    <row r="66" spans="2:12" x14ac:dyDescent="0.35">
      <c r="B66" s="76" t="s">
        <v>275</v>
      </c>
      <c r="C66" s="78">
        <v>45708</v>
      </c>
      <c r="D66" s="76">
        <v>39575</v>
      </c>
      <c r="E66" s="79">
        <v>7000</v>
      </c>
      <c r="F66" s="80">
        <v>449.01</v>
      </c>
      <c r="G66" s="81">
        <f t="shared" si="7"/>
        <v>3143070</v>
      </c>
      <c r="K66" s="55"/>
      <c r="L66" s="55"/>
    </row>
    <row r="67" spans="2:12" x14ac:dyDescent="0.35">
      <c r="B67" s="76" t="s">
        <v>275</v>
      </c>
      <c r="C67" s="78">
        <v>45716</v>
      </c>
      <c r="D67" s="76">
        <v>39651</v>
      </c>
      <c r="E67" s="79">
        <v>1200</v>
      </c>
      <c r="F67" s="80">
        <v>449.01</v>
      </c>
      <c r="G67" s="81">
        <f t="shared" si="7"/>
        <v>538812</v>
      </c>
      <c r="K67" s="32"/>
      <c r="L67" s="32"/>
    </row>
    <row r="68" spans="2:12" x14ac:dyDescent="0.35">
      <c r="B68" s="76" t="s">
        <v>275</v>
      </c>
      <c r="C68" s="78">
        <v>45708</v>
      </c>
      <c r="D68" s="76">
        <v>39576</v>
      </c>
      <c r="E68" s="79">
        <v>5000</v>
      </c>
      <c r="F68" s="80">
        <v>449.01</v>
      </c>
      <c r="G68" s="81">
        <f t="shared" si="7"/>
        <v>2245050</v>
      </c>
      <c r="K68" s="32"/>
      <c r="L68" s="32"/>
    </row>
    <row r="69" spans="2:12" x14ac:dyDescent="0.35">
      <c r="B69" s="76" t="s">
        <v>275</v>
      </c>
      <c r="C69" s="78">
        <v>45716</v>
      </c>
      <c r="D69" s="76">
        <v>39642</v>
      </c>
      <c r="E69" s="79">
        <v>5000</v>
      </c>
      <c r="F69" s="80">
        <v>449.01</v>
      </c>
      <c r="G69" s="81">
        <f t="shared" si="7"/>
        <v>2245050</v>
      </c>
      <c r="K69" s="32"/>
      <c r="L69" s="32"/>
    </row>
    <row r="70" spans="2:12" x14ac:dyDescent="0.35">
      <c r="B70" s="264" t="s">
        <v>68</v>
      </c>
      <c r="C70" s="264"/>
      <c r="D70" s="264"/>
      <c r="E70" s="83">
        <f>SUM(E43:E69)</f>
        <v>190610.44</v>
      </c>
      <c r="F70" s="174">
        <f>IFERROR((G70/E70),0)</f>
        <v>445.74931289667336</v>
      </c>
      <c r="G70" s="85">
        <f>SUM(G43:G69)</f>
        <v>84964472.660932586</v>
      </c>
    </row>
    <row r="72" spans="2:12" x14ac:dyDescent="0.35">
      <c r="B72" s="261" t="s">
        <v>69</v>
      </c>
      <c r="C72" s="261"/>
      <c r="D72" s="261"/>
      <c r="E72" s="261"/>
      <c r="F72" s="266" t="s">
        <v>150</v>
      </c>
      <c r="G72" s="266"/>
    </row>
    <row r="73" spans="2:12" x14ac:dyDescent="0.35">
      <c r="B73" s="62" t="s">
        <v>63</v>
      </c>
      <c r="C73" s="62" t="s">
        <v>104</v>
      </c>
      <c r="D73" s="62" t="s">
        <v>65</v>
      </c>
      <c r="E73" s="62" t="s">
        <v>66</v>
      </c>
      <c r="F73" s="74" t="s">
        <v>64</v>
      </c>
      <c r="G73" s="75" t="s">
        <v>67</v>
      </c>
    </row>
    <row r="74" spans="2:12" x14ac:dyDescent="0.35">
      <c r="B74" s="192" t="s">
        <v>275</v>
      </c>
      <c r="C74" s="230" t="s">
        <v>323</v>
      </c>
      <c r="D74" s="228">
        <v>39756</v>
      </c>
      <c r="E74" s="79">
        <v>12000</v>
      </c>
      <c r="F74" s="80">
        <v>449.01</v>
      </c>
      <c r="G74" s="195">
        <f>E74*F74</f>
        <v>5388120</v>
      </c>
    </row>
    <row r="75" spans="2:12" x14ac:dyDescent="0.35">
      <c r="B75" s="192" t="s">
        <v>276</v>
      </c>
      <c r="C75" s="230" t="s">
        <v>324</v>
      </c>
      <c r="D75" s="228" t="s">
        <v>299</v>
      </c>
      <c r="E75" s="79">
        <v>17720</v>
      </c>
      <c r="F75" s="80">
        <v>448.14</v>
      </c>
      <c r="G75" s="195">
        <f t="shared" ref="G75:G97" si="8">E75*F75</f>
        <v>7941040.7999999998</v>
      </c>
    </row>
    <row r="76" spans="2:12" x14ac:dyDescent="0.35">
      <c r="B76" s="192" t="s">
        <v>275</v>
      </c>
      <c r="C76" s="230" t="s">
        <v>324</v>
      </c>
      <c r="D76" s="228" t="s">
        <v>300</v>
      </c>
      <c r="E76" s="79">
        <v>6000</v>
      </c>
      <c r="F76" s="80">
        <v>449.01</v>
      </c>
      <c r="G76" s="195">
        <f t="shared" si="8"/>
        <v>2694060</v>
      </c>
    </row>
    <row r="77" spans="2:12" x14ac:dyDescent="0.35">
      <c r="B77" s="192" t="s">
        <v>277</v>
      </c>
      <c r="C77" s="230" t="s">
        <v>324</v>
      </c>
      <c r="D77" s="228" t="s">
        <v>301</v>
      </c>
      <c r="E77" s="79">
        <v>5000</v>
      </c>
      <c r="F77" s="80">
        <v>436.25</v>
      </c>
      <c r="G77" s="195">
        <f t="shared" si="8"/>
        <v>2181250</v>
      </c>
    </row>
    <row r="78" spans="2:12" x14ac:dyDescent="0.35">
      <c r="B78" s="192" t="s">
        <v>276</v>
      </c>
      <c r="C78" s="230" t="s">
        <v>324</v>
      </c>
      <c r="D78" s="228" t="s">
        <v>302</v>
      </c>
      <c r="E78" s="79">
        <v>29659.4</v>
      </c>
      <c r="F78" s="80">
        <v>448.14</v>
      </c>
      <c r="G78" s="195">
        <f t="shared" si="8"/>
        <v>13291563.516000001</v>
      </c>
    </row>
    <row r="79" spans="2:12" x14ac:dyDescent="0.35">
      <c r="B79" s="192" t="s">
        <v>276</v>
      </c>
      <c r="C79" s="230" t="s">
        <v>325</v>
      </c>
      <c r="D79" s="228" t="s">
        <v>303</v>
      </c>
      <c r="E79" s="79">
        <v>1260</v>
      </c>
      <c r="F79" s="80">
        <v>448.14</v>
      </c>
      <c r="G79" s="195">
        <f t="shared" si="8"/>
        <v>564656.4</v>
      </c>
    </row>
    <row r="80" spans="2:12" x14ac:dyDescent="0.35">
      <c r="B80" s="192" t="s">
        <v>275</v>
      </c>
      <c r="C80" s="230" t="s">
        <v>324</v>
      </c>
      <c r="D80" s="228" t="s">
        <v>304</v>
      </c>
      <c r="E80" s="79">
        <v>1500</v>
      </c>
      <c r="F80" s="80">
        <v>449.01</v>
      </c>
      <c r="G80" s="195">
        <f t="shared" si="8"/>
        <v>673515</v>
      </c>
    </row>
    <row r="81" spans="2:7" x14ac:dyDescent="0.35">
      <c r="B81" s="192" t="s">
        <v>275</v>
      </c>
      <c r="C81" s="230" t="s">
        <v>325</v>
      </c>
      <c r="D81" s="228" t="s">
        <v>305</v>
      </c>
      <c r="E81" s="79">
        <v>1072.03</v>
      </c>
      <c r="F81" s="80">
        <v>449.01</v>
      </c>
      <c r="G81" s="195">
        <f t="shared" ref="G81:G86" si="9">E81*F81</f>
        <v>481352.19029999996</v>
      </c>
    </row>
    <row r="82" spans="2:7" x14ac:dyDescent="0.35">
      <c r="B82" s="192" t="s">
        <v>275</v>
      </c>
      <c r="C82" s="230" t="s">
        <v>324</v>
      </c>
      <c r="D82" s="228" t="s">
        <v>306</v>
      </c>
      <c r="E82" s="79">
        <v>4550</v>
      </c>
      <c r="F82" s="80">
        <v>449.01</v>
      </c>
      <c r="G82" s="195">
        <f t="shared" si="9"/>
        <v>2042995.5</v>
      </c>
    </row>
    <row r="83" spans="2:7" x14ac:dyDescent="0.35">
      <c r="B83" s="192" t="s">
        <v>275</v>
      </c>
      <c r="C83" s="230" t="s">
        <v>324</v>
      </c>
      <c r="D83" s="228" t="s">
        <v>307</v>
      </c>
      <c r="E83" s="79">
        <v>550</v>
      </c>
      <c r="F83" s="80">
        <v>449.01</v>
      </c>
      <c r="G83" s="195">
        <f t="shared" si="9"/>
        <v>246955.5</v>
      </c>
    </row>
    <row r="84" spans="2:7" x14ac:dyDescent="0.35">
      <c r="B84" s="192" t="s">
        <v>276</v>
      </c>
      <c r="C84" s="230" t="s">
        <v>325</v>
      </c>
      <c r="D84" s="228" t="s">
        <v>308</v>
      </c>
      <c r="E84" s="79">
        <v>740</v>
      </c>
      <c r="F84" s="80">
        <v>448.14</v>
      </c>
      <c r="G84" s="195">
        <f t="shared" si="9"/>
        <v>331623.59999999998</v>
      </c>
    </row>
    <row r="85" spans="2:7" x14ac:dyDescent="0.35">
      <c r="B85" s="192" t="s">
        <v>276</v>
      </c>
      <c r="C85" s="230" t="s">
        <v>324</v>
      </c>
      <c r="D85" s="228" t="s">
        <v>309</v>
      </c>
      <c r="E85" s="79">
        <v>700</v>
      </c>
      <c r="F85" s="80">
        <v>448.14</v>
      </c>
      <c r="G85" s="231">
        <f t="shared" si="9"/>
        <v>313698</v>
      </c>
    </row>
    <row r="86" spans="2:7" x14ac:dyDescent="0.35">
      <c r="B86" s="192" t="s">
        <v>275</v>
      </c>
      <c r="C86" s="230" t="s">
        <v>326</v>
      </c>
      <c r="D86" s="228" t="s">
        <v>310</v>
      </c>
      <c r="E86" s="79">
        <v>11000</v>
      </c>
      <c r="F86" s="80">
        <v>449.01</v>
      </c>
      <c r="G86" s="195">
        <f t="shared" si="9"/>
        <v>4939110</v>
      </c>
    </row>
    <row r="87" spans="2:7" x14ac:dyDescent="0.35">
      <c r="B87" s="192" t="s">
        <v>275</v>
      </c>
      <c r="C87" s="230" t="s">
        <v>327</v>
      </c>
      <c r="D87" s="228" t="s">
        <v>311</v>
      </c>
      <c r="E87" s="79">
        <v>12000</v>
      </c>
      <c r="F87" s="80">
        <v>449.01</v>
      </c>
      <c r="G87" s="195">
        <f>E87*F87</f>
        <v>5388120</v>
      </c>
    </row>
    <row r="88" spans="2:7" x14ac:dyDescent="0.35">
      <c r="B88" s="192" t="s">
        <v>276</v>
      </c>
      <c r="C88" s="230" t="s">
        <v>324</v>
      </c>
      <c r="D88" s="228" t="s">
        <v>312</v>
      </c>
      <c r="E88" s="79">
        <v>2250</v>
      </c>
      <c r="F88" s="80">
        <v>448.14</v>
      </c>
      <c r="G88" s="195">
        <f t="shared" ref="G88:G92" si="10">E88*F88</f>
        <v>1008315</v>
      </c>
    </row>
    <row r="89" spans="2:7" x14ac:dyDescent="0.35">
      <c r="B89" s="192" t="s">
        <v>275</v>
      </c>
      <c r="C89" s="230" t="s">
        <v>327</v>
      </c>
      <c r="D89" s="228" t="s">
        <v>313</v>
      </c>
      <c r="E89" s="79">
        <v>5000</v>
      </c>
      <c r="F89" s="80">
        <v>449.01</v>
      </c>
      <c r="G89" s="195">
        <f t="shared" si="10"/>
        <v>2245050</v>
      </c>
    </row>
    <row r="90" spans="2:7" x14ac:dyDescent="0.35">
      <c r="B90" s="192" t="s">
        <v>280</v>
      </c>
      <c r="C90" s="230" t="s">
        <v>324</v>
      </c>
      <c r="D90" s="228" t="s">
        <v>314</v>
      </c>
      <c r="E90" s="79">
        <v>1099.54</v>
      </c>
      <c r="F90" s="80">
        <v>436.25000399999999</v>
      </c>
      <c r="G90" s="195">
        <f t="shared" si="10"/>
        <v>479674.32939815999</v>
      </c>
    </row>
    <row r="91" spans="2:7" x14ac:dyDescent="0.35">
      <c r="B91" s="192" t="s">
        <v>280</v>
      </c>
      <c r="C91" s="230" t="s">
        <v>328</v>
      </c>
      <c r="D91" s="228" t="s">
        <v>315</v>
      </c>
      <c r="E91" s="79">
        <v>900.46</v>
      </c>
      <c r="F91" s="80">
        <v>436.25000499999999</v>
      </c>
      <c r="G91" s="195">
        <f t="shared" si="10"/>
        <v>392825.67950229999</v>
      </c>
    </row>
    <row r="92" spans="2:7" x14ac:dyDescent="0.35">
      <c r="B92" s="76" t="s">
        <v>278</v>
      </c>
      <c r="C92" s="207" t="s">
        <v>328</v>
      </c>
      <c r="D92" s="229" t="s">
        <v>316</v>
      </c>
      <c r="E92" s="79">
        <v>5334.19</v>
      </c>
      <c r="F92" s="80">
        <v>437.4</v>
      </c>
      <c r="G92" s="195">
        <f t="shared" si="10"/>
        <v>2333174.7059999998</v>
      </c>
    </row>
    <row r="93" spans="2:7" x14ac:dyDescent="0.35">
      <c r="B93" s="192" t="s">
        <v>278</v>
      </c>
      <c r="C93" s="230" t="s">
        <v>324</v>
      </c>
      <c r="D93" s="228" t="s">
        <v>317</v>
      </c>
      <c r="E93" s="79">
        <v>35000</v>
      </c>
      <c r="F93" s="80">
        <v>437.4</v>
      </c>
      <c r="G93" s="195">
        <f t="shared" si="8"/>
        <v>15309000</v>
      </c>
    </row>
    <row r="94" spans="2:7" x14ac:dyDescent="0.35">
      <c r="B94" s="192" t="s">
        <v>279</v>
      </c>
      <c r="C94" s="230" t="s">
        <v>329</v>
      </c>
      <c r="D94" s="228" t="s">
        <v>318</v>
      </c>
      <c r="E94" s="79">
        <v>10000</v>
      </c>
      <c r="F94" s="80">
        <v>449.01</v>
      </c>
      <c r="G94" s="195">
        <f t="shared" si="8"/>
        <v>4490100</v>
      </c>
    </row>
    <row r="95" spans="2:7" x14ac:dyDescent="0.35">
      <c r="B95" s="192" t="s">
        <v>279</v>
      </c>
      <c r="C95" s="230" t="s">
        <v>323</v>
      </c>
      <c r="D95" s="228" t="s">
        <v>319</v>
      </c>
      <c r="E95" s="79">
        <v>15000</v>
      </c>
      <c r="F95" s="80">
        <v>449.01</v>
      </c>
      <c r="G95" s="195">
        <f t="shared" si="8"/>
        <v>6735150</v>
      </c>
    </row>
    <row r="96" spans="2:7" x14ac:dyDescent="0.35">
      <c r="B96" s="192" t="s">
        <v>279</v>
      </c>
      <c r="C96" s="230" t="s">
        <v>330</v>
      </c>
      <c r="D96" s="228" t="s">
        <v>320</v>
      </c>
      <c r="E96" s="79">
        <v>6000</v>
      </c>
      <c r="F96" s="80">
        <v>449.01</v>
      </c>
      <c r="G96" s="195">
        <f t="shared" si="8"/>
        <v>2694060</v>
      </c>
    </row>
    <row r="97" spans="2:7" x14ac:dyDescent="0.35">
      <c r="B97" s="192" t="s">
        <v>279</v>
      </c>
      <c r="C97" s="230" t="s">
        <v>328</v>
      </c>
      <c r="D97" s="228" t="s">
        <v>321</v>
      </c>
      <c r="E97" s="79">
        <v>1811.12</v>
      </c>
      <c r="F97" s="80">
        <v>449.01</v>
      </c>
      <c r="G97" s="195">
        <f t="shared" si="8"/>
        <v>813210.99119999993</v>
      </c>
    </row>
    <row r="98" spans="2:7" x14ac:dyDescent="0.35">
      <c r="B98" s="192" t="s">
        <v>279</v>
      </c>
      <c r="C98" s="230" t="s">
        <v>331</v>
      </c>
      <c r="D98" s="228" t="s">
        <v>322</v>
      </c>
      <c r="E98" s="79">
        <v>10000</v>
      </c>
      <c r="F98" s="80">
        <v>449.01</v>
      </c>
      <c r="G98" s="195">
        <f>E98*F98</f>
        <v>4490100</v>
      </c>
    </row>
    <row r="99" spans="2:7" x14ac:dyDescent="0.35">
      <c r="B99" s="264" t="s">
        <v>68</v>
      </c>
      <c r="C99" s="264"/>
      <c r="D99" s="264"/>
      <c r="E99" s="83">
        <f>SUM(E74:E98)</f>
        <v>196146.74</v>
      </c>
      <c r="F99" s="84">
        <f>IFERROR((G99/E99),0)</f>
        <v>445.93512597966435</v>
      </c>
      <c r="G99" s="85">
        <f>SUM(G74:G98)</f>
        <v>87468721.212400466</v>
      </c>
    </row>
    <row r="101" spans="2:7" x14ac:dyDescent="0.35">
      <c r="B101" s="261" t="s">
        <v>69</v>
      </c>
      <c r="C101" s="261"/>
      <c r="D101" s="261"/>
      <c r="E101" s="261"/>
      <c r="F101" s="266" t="s">
        <v>205</v>
      </c>
      <c r="G101" s="266"/>
    </row>
    <row r="102" spans="2:7" x14ac:dyDescent="0.35">
      <c r="B102" s="62" t="s">
        <v>63</v>
      </c>
      <c r="C102" s="62" t="s">
        <v>104</v>
      </c>
      <c r="D102" s="62" t="s">
        <v>65</v>
      </c>
      <c r="E102" s="62" t="s">
        <v>66</v>
      </c>
      <c r="F102" s="74" t="s">
        <v>64</v>
      </c>
      <c r="G102" s="75" t="s">
        <v>67</v>
      </c>
    </row>
    <row r="103" spans="2:7" ht="18" customHeight="1" x14ac:dyDescent="0.35">
      <c r="B103" s="76" t="s">
        <v>276</v>
      </c>
      <c r="C103" s="78" t="s">
        <v>333</v>
      </c>
      <c r="D103" s="233" t="s">
        <v>343</v>
      </c>
      <c r="E103" s="79">
        <v>21486.28</v>
      </c>
      <c r="F103" s="80">
        <v>448.14</v>
      </c>
      <c r="G103" s="81">
        <f>F103*E103</f>
        <v>9628861.519199999</v>
      </c>
    </row>
    <row r="104" spans="2:7" x14ac:dyDescent="0.35">
      <c r="B104" s="76" t="s">
        <v>276</v>
      </c>
      <c r="C104" s="78" t="s">
        <v>333</v>
      </c>
      <c r="D104" s="233">
        <v>109259</v>
      </c>
      <c r="E104" s="79">
        <v>133.72</v>
      </c>
      <c r="F104" s="80">
        <v>448.139994</v>
      </c>
      <c r="G104" s="81">
        <f t="shared" ref="G104:G108" si="11">F104*E104</f>
        <v>59925.279997680002</v>
      </c>
    </row>
    <row r="105" spans="2:7" x14ac:dyDescent="0.35">
      <c r="B105" s="76" t="s">
        <v>275</v>
      </c>
      <c r="C105" s="78" t="s">
        <v>328</v>
      </c>
      <c r="D105" s="233" t="s">
        <v>344</v>
      </c>
      <c r="E105" s="79">
        <v>4000</v>
      </c>
      <c r="F105" s="80">
        <v>449.01</v>
      </c>
      <c r="G105" s="81">
        <f t="shared" si="11"/>
        <v>1796040</v>
      </c>
    </row>
    <row r="106" spans="2:7" x14ac:dyDescent="0.35">
      <c r="B106" s="76" t="s">
        <v>276</v>
      </c>
      <c r="C106" s="78" t="s">
        <v>333</v>
      </c>
      <c r="D106" s="233" t="s">
        <v>345</v>
      </c>
      <c r="E106" s="79">
        <v>550</v>
      </c>
      <c r="F106" s="80">
        <v>448.14</v>
      </c>
      <c r="G106" s="81">
        <f t="shared" si="11"/>
        <v>246477</v>
      </c>
    </row>
    <row r="107" spans="2:7" x14ac:dyDescent="0.35">
      <c r="B107" s="76" t="s">
        <v>276</v>
      </c>
      <c r="C107" s="78" t="s">
        <v>333</v>
      </c>
      <c r="D107" s="233">
        <v>77553</v>
      </c>
      <c r="E107" s="79">
        <v>22830</v>
      </c>
      <c r="F107" s="80">
        <v>448.14</v>
      </c>
      <c r="G107" s="81">
        <f t="shared" si="11"/>
        <v>10231036.199999999</v>
      </c>
    </row>
    <row r="108" spans="2:7" x14ac:dyDescent="0.35">
      <c r="B108" s="76" t="s">
        <v>275</v>
      </c>
      <c r="C108" s="78" t="s">
        <v>334</v>
      </c>
      <c r="D108" s="233" t="s">
        <v>346</v>
      </c>
      <c r="E108" s="79">
        <v>3000</v>
      </c>
      <c r="F108" s="80">
        <v>449.01</v>
      </c>
      <c r="G108" s="81">
        <f t="shared" si="11"/>
        <v>1347030</v>
      </c>
    </row>
    <row r="109" spans="2:7" ht="18" customHeight="1" x14ac:dyDescent="0.35">
      <c r="B109" s="76" t="s">
        <v>275</v>
      </c>
      <c r="C109" s="78" t="s">
        <v>335</v>
      </c>
      <c r="D109" s="233" t="s">
        <v>347</v>
      </c>
      <c r="E109" s="79">
        <v>11000</v>
      </c>
      <c r="F109" s="80">
        <v>449.01</v>
      </c>
      <c r="G109" s="81">
        <f>F109*E109</f>
        <v>4939110</v>
      </c>
    </row>
    <row r="110" spans="2:7" x14ac:dyDescent="0.35">
      <c r="B110" s="76" t="s">
        <v>275</v>
      </c>
      <c r="C110" s="78" t="s">
        <v>336</v>
      </c>
      <c r="D110" s="233" t="s">
        <v>348</v>
      </c>
      <c r="E110" s="79">
        <v>2000</v>
      </c>
      <c r="F110" s="80">
        <v>449.01</v>
      </c>
      <c r="G110" s="81">
        <f t="shared" ref="G110:G126" si="12">F110*E110</f>
        <v>898020</v>
      </c>
    </row>
    <row r="111" spans="2:7" x14ac:dyDescent="0.35">
      <c r="B111" s="76" t="s">
        <v>276</v>
      </c>
      <c r="C111" s="78" t="s">
        <v>337</v>
      </c>
      <c r="D111" s="233" t="s">
        <v>349</v>
      </c>
      <c r="E111" s="79">
        <v>951.47</v>
      </c>
      <c r="F111" s="80">
        <v>448.14000399999998</v>
      </c>
      <c r="G111" s="81">
        <f t="shared" si="12"/>
        <v>426391.76960587996</v>
      </c>
    </row>
    <row r="112" spans="2:7" x14ac:dyDescent="0.35">
      <c r="B112" s="76" t="s">
        <v>275</v>
      </c>
      <c r="C112" s="78" t="s">
        <v>333</v>
      </c>
      <c r="D112" s="233" t="s">
        <v>350</v>
      </c>
      <c r="E112" s="79">
        <v>3000</v>
      </c>
      <c r="F112" s="80">
        <v>449.01</v>
      </c>
      <c r="G112" s="81">
        <f t="shared" si="12"/>
        <v>1347030</v>
      </c>
    </row>
    <row r="113" spans="2:9" x14ac:dyDescent="0.35">
      <c r="B113" s="76" t="s">
        <v>278</v>
      </c>
      <c r="C113" s="78" t="s">
        <v>337</v>
      </c>
      <c r="D113" s="233" t="s">
        <v>351</v>
      </c>
      <c r="E113" s="79">
        <v>3456.17</v>
      </c>
      <c r="F113" s="80">
        <v>437.4</v>
      </c>
      <c r="G113" s="81">
        <f t="shared" si="12"/>
        <v>1511728.7579999999</v>
      </c>
    </row>
    <row r="114" spans="2:9" x14ac:dyDescent="0.35">
      <c r="B114" s="76" t="s">
        <v>275</v>
      </c>
      <c r="C114" s="78" t="s">
        <v>338</v>
      </c>
      <c r="D114" s="233" t="s">
        <v>352</v>
      </c>
      <c r="E114" s="79">
        <v>13000</v>
      </c>
      <c r="F114" s="80">
        <v>449.01</v>
      </c>
      <c r="G114" s="81">
        <f t="shared" si="12"/>
        <v>5837130</v>
      </c>
    </row>
    <row r="115" spans="2:9" x14ac:dyDescent="0.35">
      <c r="B115" s="76" t="s">
        <v>275</v>
      </c>
      <c r="C115" s="78" t="s">
        <v>337</v>
      </c>
      <c r="D115" s="233" t="s">
        <v>353</v>
      </c>
      <c r="E115" s="79">
        <v>2987.56</v>
      </c>
      <c r="F115" s="80">
        <v>449.01</v>
      </c>
      <c r="G115" s="81">
        <f t="shared" si="12"/>
        <v>1341444.3155999999</v>
      </c>
    </row>
    <row r="116" spans="2:9" x14ac:dyDescent="0.35">
      <c r="B116" s="76" t="s">
        <v>276</v>
      </c>
      <c r="C116" s="78" t="s">
        <v>337</v>
      </c>
      <c r="D116" s="233" t="s">
        <v>354</v>
      </c>
      <c r="E116" s="79">
        <v>1366</v>
      </c>
      <c r="F116" s="80">
        <v>448.14</v>
      </c>
      <c r="G116" s="81">
        <f t="shared" si="12"/>
        <v>612159.24</v>
      </c>
    </row>
    <row r="117" spans="2:9" x14ac:dyDescent="0.35">
      <c r="B117" s="76" t="s">
        <v>275</v>
      </c>
      <c r="C117" s="78" t="s">
        <v>336</v>
      </c>
      <c r="D117" s="233" t="s">
        <v>355</v>
      </c>
      <c r="E117" s="79">
        <v>10000</v>
      </c>
      <c r="F117" s="80">
        <v>449.01</v>
      </c>
      <c r="G117" s="81">
        <f t="shared" si="12"/>
        <v>4490100</v>
      </c>
    </row>
    <row r="118" spans="2:9" x14ac:dyDescent="0.35">
      <c r="B118" s="76" t="s">
        <v>280</v>
      </c>
      <c r="C118" s="78" t="s">
        <v>339</v>
      </c>
      <c r="D118" s="233" t="s">
        <v>356</v>
      </c>
      <c r="E118" s="79">
        <v>2000</v>
      </c>
      <c r="F118" s="80">
        <v>436.25</v>
      </c>
      <c r="G118" s="81">
        <f t="shared" si="12"/>
        <v>872500</v>
      </c>
    </row>
    <row r="119" spans="2:9" x14ac:dyDescent="0.35">
      <c r="B119" s="76" t="s">
        <v>280</v>
      </c>
      <c r="C119" s="78" t="s">
        <v>337</v>
      </c>
      <c r="D119" s="233" t="s">
        <v>357</v>
      </c>
      <c r="E119" s="79">
        <v>1000</v>
      </c>
      <c r="F119" s="80">
        <v>436.25</v>
      </c>
      <c r="G119" s="81">
        <f t="shared" ref="G119:G122" si="13">F119*E119</f>
        <v>436250</v>
      </c>
    </row>
    <row r="120" spans="2:9" x14ac:dyDescent="0.35">
      <c r="B120" s="76" t="s">
        <v>279</v>
      </c>
      <c r="C120" s="78" t="s">
        <v>340</v>
      </c>
      <c r="D120" s="233" t="s">
        <v>358</v>
      </c>
      <c r="E120" s="79">
        <v>12000</v>
      </c>
      <c r="F120" s="80">
        <v>449.01</v>
      </c>
      <c r="G120" s="81">
        <f t="shared" si="13"/>
        <v>5388120</v>
      </c>
    </row>
    <row r="121" spans="2:9" x14ac:dyDescent="0.35">
      <c r="B121" s="76" t="s">
        <v>279</v>
      </c>
      <c r="C121" s="78" t="s">
        <v>341</v>
      </c>
      <c r="D121" s="233" t="s">
        <v>359</v>
      </c>
      <c r="E121" s="79">
        <v>5000</v>
      </c>
      <c r="F121" s="80">
        <v>449.01</v>
      </c>
      <c r="G121" s="81">
        <f t="shared" si="13"/>
        <v>2245050</v>
      </c>
    </row>
    <row r="122" spans="2:9" x14ac:dyDescent="0.35">
      <c r="B122" s="76" t="s">
        <v>279</v>
      </c>
      <c r="C122" s="78" t="s">
        <v>338</v>
      </c>
      <c r="D122" s="233" t="s">
        <v>360</v>
      </c>
      <c r="E122" s="79">
        <v>8000</v>
      </c>
      <c r="F122" s="80">
        <v>449.01</v>
      </c>
      <c r="G122" s="81">
        <f t="shared" si="13"/>
        <v>3592080</v>
      </c>
    </row>
    <row r="123" spans="2:9" x14ac:dyDescent="0.35">
      <c r="B123" s="76" t="s">
        <v>279</v>
      </c>
      <c r="C123" s="78" t="s">
        <v>336</v>
      </c>
      <c r="D123" s="233" t="s">
        <v>361</v>
      </c>
      <c r="E123" s="79">
        <v>5000</v>
      </c>
      <c r="F123" s="80">
        <v>449.01</v>
      </c>
      <c r="G123" s="81">
        <f t="shared" si="12"/>
        <v>2245050</v>
      </c>
    </row>
    <row r="124" spans="2:9" x14ac:dyDescent="0.35">
      <c r="B124" s="76" t="s">
        <v>279</v>
      </c>
      <c r="C124" s="78" t="s">
        <v>342</v>
      </c>
      <c r="D124" s="233" t="s">
        <v>362</v>
      </c>
      <c r="E124" s="79">
        <v>4000</v>
      </c>
      <c r="F124" s="80">
        <v>449.01</v>
      </c>
      <c r="G124" s="81">
        <f t="shared" si="12"/>
        <v>1796040</v>
      </c>
    </row>
    <row r="125" spans="2:9" x14ac:dyDescent="0.35">
      <c r="B125" s="76" t="s">
        <v>279</v>
      </c>
      <c r="C125" s="78" t="s">
        <v>337</v>
      </c>
      <c r="D125" s="233" t="s">
        <v>363</v>
      </c>
      <c r="E125" s="79">
        <v>1393.22</v>
      </c>
      <c r="F125" s="80">
        <v>449.01</v>
      </c>
      <c r="G125" s="81">
        <f t="shared" si="12"/>
        <v>625569.71219999995</v>
      </c>
    </row>
    <row r="126" spans="2:9" x14ac:dyDescent="0.35">
      <c r="B126" s="76" t="s">
        <v>277</v>
      </c>
      <c r="C126" s="78" t="s">
        <v>333</v>
      </c>
      <c r="D126" s="233" t="s">
        <v>364</v>
      </c>
      <c r="E126" s="79">
        <v>5000</v>
      </c>
      <c r="F126" s="80">
        <v>436.25</v>
      </c>
      <c r="G126" s="81">
        <f t="shared" si="12"/>
        <v>2181250</v>
      </c>
    </row>
    <row r="127" spans="2:9" x14ac:dyDescent="0.35">
      <c r="B127" s="76" t="s">
        <v>278</v>
      </c>
      <c r="C127" s="78" t="s">
        <v>333</v>
      </c>
      <c r="D127" s="233" t="s">
        <v>365</v>
      </c>
      <c r="E127" s="79">
        <v>30000</v>
      </c>
      <c r="F127" s="80">
        <v>437.4</v>
      </c>
      <c r="G127" s="81">
        <f>F127*E127</f>
        <v>13122000</v>
      </c>
    </row>
    <row r="128" spans="2:9" x14ac:dyDescent="0.35">
      <c r="B128" s="264" t="s">
        <v>68</v>
      </c>
      <c r="C128" s="264"/>
      <c r="D128" s="264"/>
      <c r="E128" s="83">
        <f>SUM(E103:E127)</f>
        <v>173154.42</v>
      </c>
      <c r="F128" s="84">
        <f>IFERROR((G128/E128),0)</f>
        <v>445.93949028043033</v>
      </c>
      <c r="G128" s="85">
        <f>SUM(G103:G127)</f>
        <v>77216393.794603556</v>
      </c>
      <c r="I128" s="52"/>
    </row>
    <row r="130" spans="2:7" x14ac:dyDescent="0.35">
      <c r="B130" s="261" t="s">
        <v>69</v>
      </c>
      <c r="C130" s="261"/>
      <c r="D130" s="261"/>
      <c r="E130" s="261"/>
      <c r="F130" s="266" t="s">
        <v>206</v>
      </c>
      <c r="G130" s="266"/>
    </row>
    <row r="131" spans="2:7" x14ac:dyDescent="0.35">
      <c r="B131" s="62" t="s">
        <v>63</v>
      </c>
      <c r="C131" s="62" t="s">
        <v>104</v>
      </c>
      <c r="D131" s="62" t="s">
        <v>65</v>
      </c>
      <c r="E131" s="62" t="s">
        <v>66</v>
      </c>
      <c r="F131" s="74" t="s">
        <v>64</v>
      </c>
      <c r="G131" s="75" t="s">
        <v>67</v>
      </c>
    </row>
    <row r="132" spans="2:7" x14ac:dyDescent="0.35">
      <c r="B132" s="192" t="s">
        <v>279</v>
      </c>
      <c r="C132" s="193">
        <v>45812</v>
      </c>
      <c r="D132" s="192">
        <v>28359</v>
      </c>
      <c r="E132" s="79">
        <v>648.76</v>
      </c>
      <c r="F132" s="80">
        <v>449.01</v>
      </c>
      <c r="G132" s="195">
        <f t="shared" ref="G132:G153" si="14">F132*E132</f>
        <v>291299.72759999998</v>
      </c>
    </row>
    <row r="133" spans="2:7" x14ac:dyDescent="0.35">
      <c r="B133" s="192" t="s">
        <v>279</v>
      </c>
      <c r="C133" s="193">
        <v>45792</v>
      </c>
      <c r="D133" s="192">
        <v>28268</v>
      </c>
      <c r="E133" s="79">
        <v>5000</v>
      </c>
      <c r="F133" s="80">
        <v>449.01</v>
      </c>
      <c r="G133" s="195">
        <f t="shared" si="14"/>
        <v>2245050</v>
      </c>
    </row>
    <row r="134" spans="2:7" x14ac:dyDescent="0.35">
      <c r="B134" s="192" t="s">
        <v>279</v>
      </c>
      <c r="C134" s="193">
        <v>45783</v>
      </c>
      <c r="D134" s="192">
        <v>28215</v>
      </c>
      <c r="E134" s="79">
        <v>5000</v>
      </c>
      <c r="F134" s="80">
        <v>449.01</v>
      </c>
      <c r="G134" s="195">
        <f t="shared" si="14"/>
        <v>2245050</v>
      </c>
    </row>
    <row r="135" spans="2:7" x14ac:dyDescent="0.35">
      <c r="B135" s="192" t="s">
        <v>279</v>
      </c>
      <c r="C135" s="193">
        <v>45779</v>
      </c>
      <c r="D135" s="192">
        <v>28201</v>
      </c>
      <c r="E135" s="79">
        <v>10000</v>
      </c>
      <c r="F135" s="80">
        <v>449.01</v>
      </c>
      <c r="G135" s="195">
        <f t="shared" si="14"/>
        <v>4490100</v>
      </c>
    </row>
    <row r="136" spans="2:7" x14ac:dyDescent="0.35">
      <c r="B136" s="192" t="s">
        <v>279</v>
      </c>
      <c r="C136" s="193">
        <v>45796</v>
      </c>
      <c r="D136" s="192">
        <v>28278</v>
      </c>
      <c r="E136" s="79">
        <v>7000</v>
      </c>
      <c r="F136" s="80">
        <v>449.01</v>
      </c>
      <c r="G136" s="195">
        <f t="shared" si="14"/>
        <v>3143070</v>
      </c>
    </row>
    <row r="137" spans="2:7" x14ac:dyDescent="0.35">
      <c r="B137" s="192" t="s">
        <v>279</v>
      </c>
      <c r="C137" s="193">
        <v>45786</v>
      </c>
      <c r="D137" s="192">
        <v>28238</v>
      </c>
      <c r="E137" s="79">
        <v>5000</v>
      </c>
      <c r="F137" s="80">
        <v>449.01</v>
      </c>
      <c r="G137" s="195">
        <f t="shared" si="14"/>
        <v>2245050</v>
      </c>
    </row>
    <row r="138" spans="2:7" x14ac:dyDescent="0.35">
      <c r="B138" s="192" t="s">
        <v>279</v>
      </c>
      <c r="C138" s="193">
        <v>45790</v>
      </c>
      <c r="D138" s="192">
        <v>28248</v>
      </c>
      <c r="E138" s="79">
        <v>5000</v>
      </c>
      <c r="F138" s="80">
        <v>449.01</v>
      </c>
      <c r="G138" s="195">
        <f t="shared" si="14"/>
        <v>2245050</v>
      </c>
    </row>
    <row r="139" spans="2:7" x14ac:dyDescent="0.35">
      <c r="B139" s="192" t="s">
        <v>278</v>
      </c>
      <c r="C139" s="193">
        <v>45807</v>
      </c>
      <c r="D139" s="192">
        <v>80099</v>
      </c>
      <c r="E139" s="79">
        <v>39000</v>
      </c>
      <c r="F139" s="80">
        <v>437.4</v>
      </c>
      <c r="G139" s="195">
        <f t="shared" si="14"/>
        <v>17058600</v>
      </c>
    </row>
    <row r="140" spans="2:7" x14ac:dyDescent="0.35">
      <c r="B140" s="192" t="s">
        <v>278</v>
      </c>
      <c r="C140" s="193">
        <v>45813</v>
      </c>
      <c r="D140" s="192">
        <v>80141</v>
      </c>
      <c r="E140" s="79">
        <v>3750</v>
      </c>
      <c r="F140" s="80">
        <v>437.4</v>
      </c>
      <c r="G140" s="195">
        <f t="shared" si="14"/>
        <v>1640250</v>
      </c>
    </row>
    <row r="141" spans="2:7" x14ac:dyDescent="0.35">
      <c r="B141" s="192" t="s">
        <v>276</v>
      </c>
      <c r="C141" s="193">
        <v>45813</v>
      </c>
      <c r="D141" s="192">
        <v>110650</v>
      </c>
      <c r="E141" s="79">
        <v>1000</v>
      </c>
      <c r="F141" s="80">
        <v>448.14</v>
      </c>
      <c r="G141" s="195">
        <f t="shared" si="14"/>
        <v>448140</v>
      </c>
    </row>
    <row r="142" spans="2:7" x14ac:dyDescent="0.35">
      <c r="B142" s="192" t="s">
        <v>276</v>
      </c>
      <c r="C142" s="193">
        <v>45807</v>
      </c>
      <c r="D142" s="192">
        <v>110553</v>
      </c>
      <c r="E142" s="79">
        <v>22230</v>
      </c>
      <c r="F142" s="80">
        <v>448.14</v>
      </c>
      <c r="G142" s="195">
        <f t="shared" si="14"/>
        <v>9962152.1999999993</v>
      </c>
    </row>
    <row r="143" spans="2:7" x14ac:dyDescent="0.35">
      <c r="B143" s="192" t="s">
        <v>280</v>
      </c>
      <c r="C143" s="193">
        <v>45807</v>
      </c>
      <c r="D143" s="192">
        <v>1816</v>
      </c>
      <c r="E143" s="79">
        <v>2273.52</v>
      </c>
      <c r="F143" s="80">
        <v>436.25</v>
      </c>
      <c r="G143" s="195">
        <f t="shared" si="14"/>
        <v>991823.1</v>
      </c>
    </row>
    <row r="144" spans="2:7" x14ac:dyDescent="0.35">
      <c r="B144" s="192" t="s">
        <v>280</v>
      </c>
      <c r="C144" s="193">
        <v>45812</v>
      </c>
      <c r="D144" s="192">
        <v>1831</v>
      </c>
      <c r="E144" s="79">
        <v>726.48</v>
      </c>
      <c r="F144" s="80">
        <v>436.25</v>
      </c>
      <c r="G144" s="195">
        <f t="shared" si="14"/>
        <v>316926.90000000002</v>
      </c>
    </row>
    <row r="145" spans="2:7" x14ac:dyDescent="0.35">
      <c r="B145" s="192" t="s">
        <v>276</v>
      </c>
      <c r="C145" s="193">
        <v>45807</v>
      </c>
      <c r="D145" s="192">
        <v>10087</v>
      </c>
      <c r="E145" s="79">
        <v>540</v>
      </c>
      <c r="F145" s="80">
        <v>448.14</v>
      </c>
      <c r="G145" s="195">
        <f t="shared" si="14"/>
        <v>241995.6</v>
      </c>
    </row>
    <row r="146" spans="2:7" x14ac:dyDescent="0.35">
      <c r="B146" s="192" t="s">
        <v>276</v>
      </c>
      <c r="C146" s="193">
        <v>45813</v>
      </c>
      <c r="D146" s="192">
        <v>80013</v>
      </c>
      <c r="E146" s="79">
        <v>750</v>
      </c>
      <c r="F146" s="80">
        <v>448.14</v>
      </c>
      <c r="G146" s="195">
        <f t="shared" si="14"/>
        <v>336105</v>
      </c>
    </row>
    <row r="147" spans="2:7" x14ac:dyDescent="0.35">
      <c r="B147" s="192" t="s">
        <v>276</v>
      </c>
      <c r="C147" s="193">
        <v>45807</v>
      </c>
      <c r="D147" s="192">
        <v>79715</v>
      </c>
      <c r="E147" s="79">
        <v>30730</v>
      </c>
      <c r="F147" s="80">
        <v>448.14</v>
      </c>
      <c r="G147" s="195">
        <f t="shared" si="14"/>
        <v>13771342.199999999</v>
      </c>
    </row>
    <row r="148" spans="2:7" x14ac:dyDescent="0.35">
      <c r="B148" s="192" t="s">
        <v>277</v>
      </c>
      <c r="C148" s="193">
        <v>45807</v>
      </c>
      <c r="D148" s="192">
        <v>963</v>
      </c>
      <c r="E148" s="79">
        <v>5000</v>
      </c>
      <c r="F148" s="80">
        <v>436.25</v>
      </c>
      <c r="G148" s="195">
        <f t="shared" si="14"/>
        <v>2181250</v>
      </c>
    </row>
    <row r="149" spans="2:7" x14ac:dyDescent="0.35">
      <c r="B149" s="192" t="s">
        <v>275</v>
      </c>
      <c r="C149" s="193">
        <v>45797</v>
      </c>
      <c r="D149" s="192">
        <v>40437</v>
      </c>
      <c r="E149" s="79">
        <v>5000</v>
      </c>
      <c r="F149" s="80">
        <v>449.01</v>
      </c>
      <c r="G149" s="195">
        <f t="shared" si="14"/>
        <v>2245050</v>
      </c>
    </row>
    <row r="150" spans="2:7" x14ac:dyDescent="0.35">
      <c r="B150" s="192" t="s">
        <v>275</v>
      </c>
      <c r="C150" s="193">
        <v>45783</v>
      </c>
      <c r="D150" s="192">
        <v>40319</v>
      </c>
      <c r="E150" s="79">
        <v>5000</v>
      </c>
      <c r="F150" s="80">
        <v>449.01</v>
      </c>
      <c r="G150" s="195">
        <f t="shared" si="14"/>
        <v>2245050</v>
      </c>
    </row>
    <row r="151" spans="2:7" x14ac:dyDescent="0.35">
      <c r="B151" s="192" t="s">
        <v>275</v>
      </c>
      <c r="C151" s="193">
        <v>45803</v>
      </c>
      <c r="D151" s="192">
        <v>40482</v>
      </c>
      <c r="E151" s="79">
        <v>8000</v>
      </c>
      <c r="F151" s="80">
        <v>449.01</v>
      </c>
      <c r="G151" s="195">
        <f t="shared" si="14"/>
        <v>3592080</v>
      </c>
    </row>
    <row r="152" spans="2:7" x14ac:dyDescent="0.35">
      <c r="B152" s="192" t="s">
        <v>275</v>
      </c>
      <c r="C152" s="193">
        <v>45786</v>
      </c>
      <c r="D152" s="192">
        <v>40357</v>
      </c>
      <c r="E152" s="79">
        <v>3000</v>
      </c>
      <c r="F152" s="80">
        <v>449.01</v>
      </c>
      <c r="G152" s="195">
        <f t="shared" si="14"/>
        <v>1347030</v>
      </c>
    </row>
    <row r="153" spans="2:7" x14ac:dyDescent="0.35">
      <c r="B153" s="192" t="s">
        <v>275</v>
      </c>
      <c r="C153" s="193">
        <v>45807</v>
      </c>
      <c r="D153" s="192">
        <v>40543</v>
      </c>
      <c r="E153" s="79">
        <v>1000</v>
      </c>
      <c r="F153" s="80">
        <v>449.01</v>
      </c>
      <c r="G153" s="195">
        <f t="shared" si="14"/>
        <v>449010</v>
      </c>
    </row>
    <row r="154" spans="2:7" x14ac:dyDescent="0.35">
      <c r="B154" s="192" t="s">
        <v>275</v>
      </c>
      <c r="C154" s="193">
        <v>45807</v>
      </c>
      <c r="D154" s="192">
        <v>40538</v>
      </c>
      <c r="E154" s="79">
        <v>7000</v>
      </c>
      <c r="F154" s="80">
        <v>449.01</v>
      </c>
      <c r="G154" s="195">
        <f t="shared" ref="G154:G158" si="15">F154*E154</f>
        <v>3143070</v>
      </c>
    </row>
    <row r="155" spans="2:7" x14ac:dyDescent="0.35">
      <c r="B155" s="192" t="s">
        <v>275</v>
      </c>
      <c r="C155" s="193">
        <v>45797</v>
      </c>
      <c r="D155" s="192">
        <v>40436</v>
      </c>
      <c r="E155" s="79">
        <v>8000</v>
      </c>
      <c r="F155" s="80">
        <v>449.01</v>
      </c>
      <c r="G155" s="195">
        <f t="shared" si="15"/>
        <v>3592080</v>
      </c>
    </row>
    <row r="156" spans="2:7" x14ac:dyDescent="0.35">
      <c r="B156" s="192" t="s">
        <v>275</v>
      </c>
      <c r="C156" s="193">
        <v>45792</v>
      </c>
      <c r="D156" s="192">
        <v>40400</v>
      </c>
      <c r="E156" s="79">
        <v>15000</v>
      </c>
      <c r="F156" s="80">
        <v>449.01</v>
      </c>
      <c r="G156" s="195">
        <f t="shared" si="15"/>
        <v>6735150</v>
      </c>
    </row>
    <row r="157" spans="2:7" x14ac:dyDescent="0.35">
      <c r="B157" s="192" t="s">
        <v>275</v>
      </c>
      <c r="C157" s="193">
        <v>45813</v>
      </c>
      <c r="D157" s="192">
        <v>40590</v>
      </c>
      <c r="E157" s="79">
        <v>1250</v>
      </c>
      <c r="F157" s="80">
        <v>449.01</v>
      </c>
      <c r="G157" s="195">
        <f t="shared" si="15"/>
        <v>561262.5</v>
      </c>
    </row>
    <row r="158" spans="2:7" x14ac:dyDescent="0.35">
      <c r="B158" s="192" t="s">
        <v>275</v>
      </c>
      <c r="C158" s="193">
        <v>45796</v>
      </c>
      <c r="D158" s="192">
        <v>40428</v>
      </c>
      <c r="E158" s="79">
        <v>3000</v>
      </c>
      <c r="F158" s="80">
        <v>449.01</v>
      </c>
      <c r="G158" s="195">
        <f t="shared" si="15"/>
        <v>1347030</v>
      </c>
    </row>
    <row r="159" spans="2:7" x14ac:dyDescent="0.35">
      <c r="B159" s="264" t="s">
        <v>68</v>
      </c>
      <c r="C159" s="264"/>
      <c r="D159" s="264"/>
      <c r="E159" s="83">
        <f>SUM(E132:E158)</f>
        <v>199898.76</v>
      </c>
      <c r="F159" s="174">
        <f>IFERROR((G159/E159),0)</f>
        <v>445.77598794309677</v>
      </c>
      <c r="G159" s="85">
        <f>SUM(G132:G158)</f>
        <v>89110067.227599993</v>
      </c>
    </row>
    <row r="161" spans="2:7" x14ac:dyDescent="0.35">
      <c r="B161" s="261" t="s">
        <v>69</v>
      </c>
      <c r="C161" s="261"/>
      <c r="D161" s="261"/>
      <c r="E161" s="261"/>
      <c r="F161" s="262" t="s">
        <v>207</v>
      </c>
      <c r="G161" s="263"/>
    </row>
    <row r="162" spans="2:7" x14ac:dyDescent="0.35">
      <c r="B162" s="62" t="s">
        <v>63</v>
      </c>
      <c r="C162" s="62" t="s">
        <v>104</v>
      </c>
      <c r="D162" s="62" t="s">
        <v>65</v>
      </c>
      <c r="E162" s="62" t="s">
        <v>66</v>
      </c>
      <c r="F162" s="74" t="s">
        <v>64</v>
      </c>
      <c r="G162" s="75" t="s">
        <v>67</v>
      </c>
    </row>
    <row r="163" spans="2:7" x14ac:dyDescent="0.35">
      <c r="B163" s="76" t="s">
        <v>279</v>
      </c>
      <c r="C163" s="78">
        <v>45825</v>
      </c>
      <c r="D163" s="76">
        <v>28396</v>
      </c>
      <c r="E163" s="79">
        <v>8000</v>
      </c>
      <c r="F163" s="80">
        <v>449.01</v>
      </c>
      <c r="G163" s="81">
        <f t="shared" ref="G163:G176" si="16">F163*E163</f>
        <v>3592080</v>
      </c>
    </row>
    <row r="164" spans="2:7" x14ac:dyDescent="0.35">
      <c r="B164" s="76" t="s">
        <v>279</v>
      </c>
      <c r="C164" s="78">
        <v>45810</v>
      </c>
      <c r="D164" s="76">
        <v>28345</v>
      </c>
      <c r="E164" s="79">
        <v>10000</v>
      </c>
      <c r="F164" s="80">
        <v>449.01</v>
      </c>
      <c r="G164" s="81">
        <f t="shared" si="16"/>
        <v>4490100</v>
      </c>
    </row>
    <row r="165" spans="2:7" x14ac:dyDescent="0.35">
      <c r="B165" s="76" t="s">
        <v>279</v>
      </c>
      <c r="C165" s="78">
        <v>45812</v>
      </c>
      <c r="D165" s="76">
        <v>28358</v>
      </c>
      <c r="E165" s="79">
        <v>5000</v>
      </c>
      <c r="F165" s="80">
        <v>449.01</v>
      </c>
      <c r="G165" s="81">
        <f t="shared" si="16"/>
        <v>2245050</v>
      </c>
    </row>
    <row r="166" spans="2:7" x14ac:dyDescent="0.35">
      <c r="B166" s="76" t="s">
        <v>279</v>
      </c>
      <c r="C166" s="78">
        <v>45818</v>
      </c>
      <c r="D166" s="76">
        <v>28372</v>
      </c>
      <c r="E166" s="79">
        <v>5000</v>
      </c>
      <c r="F166" s="80">
        <v>449.01</v>
      </c>
      <c r="G166" s="81">
        <f t="shared" si="16"/>
        <v>2245050</v>
      </c>
    </row>
    <row r="167" spans="2:7" x14ac:dyDescent="0.35">
      <c r="B167" s="76" t="s">
        <v>279</v>
      </c>
      <c r="C167" s="78">
        <v>45831</v>
      </c>
      <c r="D167" s="76">
        <v>28414</v>
      </c>
      <c r="E167" s="79">
        <v>1000</v>
      </c>
      <c r="F167" s="80">
        <v>449.01</v>
      </c>
      <c r="G167" s="81">
        <f t="shared" si="16"/>
        <v>449010</v>
      </c>
    </row>
    <row r="168" spans="2:7" x14ac:dyDescent="0.35">
      <c r="B168" s="76" t="s">
        <v>279</v>
      </c>
      <c r="C168" s="78">
        <v>45814</v>
      </c>
      <c r="D168" s="76">
        <v>28365</v>
      </c>
      <c r="E168" s="79">
        <v>5000</v>
      </c>
      <c r="F168" s="80">
        <v>449.01</v>
      </c>
      <c r="G168" s="81">
        <f t="shared" si="16"/>
        <v>2245050</v>
      </c>
    </row>
    <row r="169" spans="2:7" x14ac:dyDescent="0.35">
      <c r="B169" s="76" t="s">
        <v>279</v>
      </c>
      <c r="C169" s="78">
        <v>45842</v>
      </c>
      <c r="D169" s="76">
        <v>28475</v>
      </c>
      <c r="E169" s="79">
        <v>1462.4</v>
      </c>
      <c r="F169" s="80">
        <v>449.01</v>
      </c>
      <c r="G169" s="81">
        <f t="shared" si="16"/>
        <v>656632.22400000005</v>
      </c>
    </row>
    <row r="170" spans="2:7" x14ac:dyDescent="0.35">
      <c r="B170" s="76" t="s">
        <v>279</v>
      </c>
      <c r="C170" s="78">
        <v>45804</v>
      </c>
      <c r="D170" s="76">
        <v>28318</v>
      </c>
      <c r="E170" s="79">
        <v>2000</v>
      </c>
      <c r="F170" s="80">
        <v>449.01</v>
      </c>
      <c r="G170" s="81">
        <f t="shared" si="16"/>
        <v>898020</v>
      </c>
    </row>
    <row r="171" spans="2:7" x14ac:dyDescent="0.35">
      <c r="B171" s="76" t="s">
        <v>278</v>
      </c>
      <c r="C171" s="78">
        <v>45838</v>
      </c>
      <c r="D171" s="76">
        <v>80263</v>
      </c>
      <c r="E171" s="79">
        <v>44000</v>
      </c>
      <c r="F171" s="80">
        <v>437.4</v>
      </c>
      <c r="G171" s="81">
        <f t="shared" si="16"/>
        <v>19245600</v>
      </c>
    </row>
    <row r="172" spans="2:7" x14ac:dyDescent="0.35">
      <c r="B172" s="76" t="s">
        <v>278</v>
      </c>
      <c r="C172" s="78">
        <v>45840</v>
      </c>
      <c r="D172" s="76">
        <v>80278</v>
      </c>
      <c r="E172" s="79">
        <v>2000</v>
      </c>
      <c r="F172" s="80">
        <v>437.4</v>
      </c>
      <c r="G172" s="81">
        <f t="shared" si="16"/>
        <v>874800</v>
      </c>
    </row>
    <row r="173" spans="2:7" x14ac:dyDescent="0.35">
      <c r="B173" s="76" t="s">
        <v>276</v>
      </c>
      <c r="C173" s="78">
        <v>45838</v>
      </c>
      <c r="D173" s="76">
        <v>110998</v>
      </c>
      <c r="E173" s="79">
        <v>16815</v>
      </c>
      <c r="F173" s="80">
        <v>448.14</v>
      </c>
      <c r="G173" s="81">
        <f t="shared" si="16"/>
        <v>7535474.0999999996</v>
      </c>
    </row>
    <row r="174" spans="2:7" x14ac:dyDescent="0.35">
      <c r="B174" s="76" t="s">
        <v>280</v>
      </c>
      <c r="C174" s="78">
        <v>45842</v>
      </c>
      <c r="D174" s="76">
        <v>1888</v>
      </c>
      <c r="E174" s="79">
        <v>1129.3</v>
      </c>
      <c r="F174" s="80">
        <v>436.25000399999999</v>
      </c>
      <c r="G174" s="81">
        <f t="shared" si="16"/>
        <v>492657.1295172</v>
      </c>
    </row>
    <row r="175" spans="2:7" x14ac:dyDescent="0.35">
      <c r="B175" s="76" t="s">
        <v>280</v>
      </c>
      <c r="C175" s="78">
        <v>45835</v>
      </c>
      <c r="D175" s="76">
        <v>1873</v>
      </c>
      <c r="E175" s="79">
        <v>1193.98</v>
      </c>
      <c r="F175" s="80">
        <v>436.25000399999999</v>
      </c>
      <c r="G175" s="81">
        <f t="shared" si="16"/>
        <v>520873.77977591997</v>
      </c>
    </row>
    <row r="176" spans="2:7" x14ac:dyDescent="0.35">
      <c r="B176" s="76" t="s">
        <v>276</v>
      </c>
      <c r="C176" s="78">
        <v>45838</v>
      </c>
      <c r="D176" s="76">
        <v>10099</v>
      </c>
      <c r="E176" s="79">
        <v>385</v>
      </c>
      <c r="F176" s="80">
        <v>448.14</v>
      </c>
      <c r="G176" s="81">
        <f t="shared" si="16"/>
        <v>172533.9</v>
      </c>
    </row>
    <row r="177" spans="2:7" x14ac:dyDescent="0.35">
      <c r="B177" s="76" t="s">
        <v>276</v>
      </c>
      <c r="C177" s="78">
        <v>45838</v>
      </c>
      <c r="D177" s="76">
        <v>10100</v>
      </c>
      <c r="E177" s="79">
        <v>65</v>
      </c>
      <c r="F177" s="80">
        <v>448.14</v>
      </c>
      <c r="G177" s="81">
        <f t="shared" ref="G177:G191" si="17">F177*E177</f>
        <v>29129.1</v>
      </c>
    </row>
    <row r="178" spans="2:7" x14ac:dyDescent="0.35">
      <c r="B178" s="76" t="s">
        <v>372</v>
      </c>
      <c r="C178" s="78">
        <v>45842</v>
      </c>
      <c r="D178" s="76">
        <v>29945</v>
      </c>
      <c r="E178" s="79">
        <v>2271.65</v>
      </c>
      <c r="F178" s="80">
        <v>435.04000100000002</v>
      </c>
      <c r="G178" s="81">
        <f t="shared" si="17"/>
        <v>988258.61827165005</v>
      </c>
    </row>
    <row r="179" spans="2:7" x14ac:dyDescent="0.35">
      <c r="B179" s="76" t="s">
        <v>276</v>
      </c>
      <c r="C179" s="78">
        <v>45841</v>
      </c>
      <c r="D179" s="76">
        <v>81755</v>
      </c>
      <c r="E179" s="79">
        <v>1932.53</v>
      </c>
      <c r="F179" s="80">
        <v>448.13999699999999</v>
      </c>
      <c r="G179" s="81">
        <f t="shared" ref="G179:G185" si="18">F179*E179</f>
        <v>866043.98840240994</v>
      </c>
    </row>
    <row r="180" spans="2:7" x14ac:dyDescent="0.35">
      <c r="B180" s="76" t="s">
        <v>276</v>
      </c>
      <c r="C180" s="78">
        <v>45838</v>
      </c>
      <c r="D180" s="76">
        <v>81531</v>
      </c>
      <c r="E180" s="79">
        <v>36985</v>
      </c>
      <c r="F180" s="80">
        <v>448.14</v>
      </c>
      <c r="G180" s="81">
        <f t="shared" si="18"/>
        <v>16574457.9</v>
      </c>
    </row>
    <row r="181" spans="2:7" x14ac:dyDescent="0.35">
      <c r="B181" s="76" t="s">
        <v>277</v>
      </c>
      <c r="C181" s="78">
        <v>45838</v>
      </c>
      <c r="D181" s="76">
        <v>964</v>
      </c>
      <c r="E181" s="79">
        <v>6000</v>
      </c>
      <c r="F181" s="80">
        <v>436.25</v>
      </c>
      <c r="G181" s="81">
        <f t="shared" si="18"/>
        <v>2617500</v>
      </c>
    </row>
    <row r="182" spans="2:7" x14ac:dyDescent="0.35">
      <c r="B182" s="76" t="s">
        <v>275</v>
      </c>
      <c r="C182" s="78">
        <v>45838</v>
      </c>
      <c r="D182" s="76">
        <v>40822</v>
      </c>
      <c r="E182" s="79">
        <v>3262.44</v>
      </c>
      <c r="F182" s="80">
        <v>449.01</v>
      </c>
      <c r="G182" s="81">
        <f t="shared" si="18"/>
        <v>1464868.1843999999</v>
      </c>
    </row>
    <row r="183" spans="2:7" x14ac:dyDescent="0.35">
      <c r="B183" s="76" t="s">
        <v>275</v>
      </c>
      <c r="C183" s="78">
        <v>45813</v>
      </c>
      <c r="D183" s="76">
        <v>40591</v>
      </c>
      <c r="E183" s="79">
        <v>2000</v>
      </c>
      <c r="F183" s="80">
        <v>449.01</v>
      </c>
      <c r="G183" s="81">
        <f t="shared" si="18"/>
        <v>898020</v>
      </c>
    </row>
    <row r="184" spans="2:7" x14ac:dyDescent="0.35">
      <c r="B184" s="76" t="s">
        <v>275</v>
      </c>
      <c r="C184" s="78">
        <v>45835</v>
      </c>
      <c r="D184" s="76">
        <v>40810</v>
      </c>
      <c r="E184" s="79">
        <v>3250</v>
      </c>
      <c r="F184" s="80">
        <v>449.01</v>
      </c>
      <c r="G184" s="81">
        <f t="shared" si="18"/>
        <v>1459282.5</v>
      </c>
    </row>
    <row r="185" spans="2:7" x14ac:dyDescent="0.35">
      <c r="B185" s="76" t="s">
        <v>275</v>
      </c>
      <c r="C185" s="78">
        <v>45818</v>
      </c>
      <c r="D185" s="76">
        <v>40639</v>
      </c>
      <c r="E185" s="79">
        <v>3000</v>
      </c>
      <c r="F185" s="80">
        <v>449.01</v>
      </c>
      <c r="G185" s="81">
        <f t="shared" si="18"/>
        <v>1347030</v>
      </c>
    </row>
    <row r="186" spans="2:7" x14ac:dyDescent="0.35">
      <c r="B186" s="76" t="s">
        <v>275</v>
      </c>
      <c r="C186" s="78">
        <v>45828</v>
      </c>
      <c r="D186" s="76">
        <v>40749</v>
      </c>
      <c r="E186" s="79">
        <v>12000</v>
      </c>
      <c r="F186" s="80">
        <v>449.01</v>
      </c>
      <c r="G186" s="81">
        <f t="shared" si="17"/>
        <v>5388120</v>
      </c>
    </row>
    <row r="187" spans="2:7" x14ac:dyDescent="0.35">
      <c r="B187" s="76" t="s">
        <v>275</v>
      </c>
      <c r="C187" s="78">
        <v>45826</v>
      </c>
      <c r="D187" s="76">
        <v>40726</v>
      </c>
      <c r="E187" s="79">
        <v>4000</v>
      </c>
      <c r="F187" s="80">
        <v>449.01</v>
      </c>
      <c r="G187" s="81">
        <f t="shared" si="17"/>
        <v>1796040</v>
      </c>
    </row>
    <row r="188" spans="2:7" x14ac:dyDescent="0.35">
      <c r="B188" s="76" t="s">
        <v>275</v>
      </c>
      <c r="C188" s="78">
        <v>45833</v>
      </c>
      <c r="D188" s="76">
        <v>40787</v>
      </c>
      <c r="E188" s="79">
        <v>5000</v>
      </c>
      <c r="F188" s="80">
        <v>449.01</v>
      </c>
      <c r="G188" s="81">
        <f t="shared" si="17"/>
        <v>2245050</v>
      </c>
    </row>
    <row r="189" spans="2:7" x14ac:dyDescent="0.35">
      <c r="B189" s="76" t="s">
        <v>275</v>
      </c>
      <c r="C189" s="78">
        <v>45824</v>
      </c>
      <c r="D189" s="76">
        <v>40699</v>
      </c>
      <c r="E189" s="79">
        <v>15000</v>
      </c>
      <c r="F189" s="80">
        <v>449.01</v>
      </c>
      <c r="G189" s="81">
        <f t="shared" si="17"/>
        <v>6735150</v>
      </c>
    </row>
    <row r="190" spans="2:7" x14ac:dyDescent="0.35">
      <c r="B190" s="76" t="s">
        <v>275</v>
      </c>
      <c r="C190" s="78">
        <v>45814</v>
      </c>
      <c r="D190" s="76">
        <v>40606</v>
      </c>
      <c r="E190" s="79">
        <v>7000</v>
      </c>
      <c r="F190" s="80">
        <v>449.01</v>
      </c>
      <c r="G190" s="81">
        <f t="shared" si="17"/>
        <v>3143070</v>
      </c>
    </row>
    <row r="191" spans="2:7" x14ac:dyDescent="0.35">
      <c r="B191" s="76" t="s">
        <v>275</v>
      </c>
      <c r="C191" s="78">
        <v>45831</v>
      </c>
      <c r="D191" s="76">
        <v>40759</v>
      </c>
      <c r="E191" s="79">
        <v>1000</v>
      </c>
      <c r="F191" s="80">
        <v>449.01</v>
      </c>
      <c r="G191" s="81">
        <f t="shared" si="17"/>
        <v>449010</v>
      </c>
    </row>
    <row r="192" spans="2:7" x14ac:dyDescent="0.35">
      <c r="B192" s="264" t="s">
        <v>68</v>
      </c>
      <c r="C192" s="264"/>
      <c r="D192" s="264"/>
      <c r="E192" s="83">
        <f>SUM(E163:E191)</f>
        <v>205752.3</v>
      </c>
      <c r="F192" s="84">
        <f>IFERROR((G192/E192),0)</f>
        <v>445.50637550281175</v>
      </c>
      <c r="G192" s="85">
        <f>SUM(G163:G191)</f>
        <v>91663961.424367175</v>
      </c>
    </row>
    <row r="194" spans="2:10" x14ac:dyDescent="0.35">
      <c r="B194" s="261" t="s">
        <v>69</v>
      </c>
      <c r="C194" s="261"/>
      <c r="D194" s="261"/>
      <c r="E194" s="261"/>
      <c r="F194" s="262" t="s">
        <v>208</v>
      </c>
      <c r="G194" s="263"/>
    </row>
    <row r="195" spans="2:10" x14ac:dyDescent="0.35">
      <c r="B195" s="62" t="s">
        <v>63</v>
      </c>
      <c r="C195" s="62" t="s">
        <v>104</v>
      </c>
      <c r="D195" s="62" t="s">
        <v>65</v>
      </c>
      <c r="E195" s="62" t="s">
        <v>66</v>
      </c>
      <c r="F195" s="74" t="s">
        <v>64</v>
      </c>
      <c r="G195" s="75" t="s">
        <v>67</v>
      </c>
    </row>
    <row r="196" spans="2:10" x14ac:dyDescent="0.35">
      <c r="B196" s="76" t="s">
        <v>276</v>
      </c>
      <c r="C196" s="78">
        <v>45869</v>
      </c>
      <c r="D196" s="76">
        <v>84000</v>
      </c>
      <c r="E196" s="79">
        <v>39820</v>
      </c>
      <c r="F196" s="80">
        <v>448.14</v>
      </c>
      <c r="G196" s="81">
        <f t="shared" ref="G196:G223" si="19">E196*F196</f>
        <v>17844934.800000001</v>
      </c>
    </row>
    <row r="197" spans="2:10" x14ac:dyDescent="0.35">
      <c r="B197" s="76" t="s">
        <v>276</v>
      </c>
      <c r="C197" s="78">
        <v>45869</v>
      </c>
      <c r="D197" s="76">
        <v>10108</v>
      </c>
      <c r="E197" s="79">
        <v>3418</v>
      </c>
      <c r="F197" s="80">
        <v>448.14</v>
      </c>
      <c r="G197" s="81">
        <f t="shared" si="19"/>
        <v>1531742.52</v>
      </c>
    </row>
    <row r="198" spans="2:10" x14ac:dyDescent="0.35">
      <c r="B198" s="76" t="s">
        <v>276</v>
      </c>
      <c r="C198" s="78">
        <v>45869</v>
      </c>
      <c r="D198" s="76">
        <v>111019</v>
      </c>
      <c r="E198" s="79">
        <v>12012</v>
      </c>
      <c r="F198" s="80">
        <v>448.14</v>
      </c>
      <c r="G198" s="81">
        <f t="shared" si="19"/>
        <v>5383057.6799999997</v>
      </c>
    </row>
    <row r="199" spans="2:10" x14ac:dyDescent="0.35">
      <c r="B199" s="76" t="s">
        <v>280</v>
      </c>
      <c r="C199" s="78">
        <v>45873</v>
      </c>
      <c r="D199" s="76">
        <v>1996</v>
      </c>
      <c r="E199" s="79">
        <v>1049.42</v>
      </c>
      <c r="F199" s="80">
        <v>436.25000399999999</v>
      </c>
      <c r="G199" s="81">
        <f t="shared" si="19"/>
        <v>457809.47919768002</v>
      </c>
    </row>
    <row r="200" spans="2:10" x14ac:dyDescent="0.35">
      <c r="B200" s="76" t="s">
        <v>280</v>
      </c>
      <c r="C200" s="78">
        <v>45860</v>
      </c>
      <c r="D200" s="76">
        <v>1966</v>
      </c>
      <c r="E200" s="79">
        <v>1029.94</v>
      </c>
      <c r="F200" s="80">
        <v>436.25000399999999</v>
      </c>
      <c r="G200" s="81">
        <f t="shared" si="19"/>
        <v>449311.32911976002</v>
      </c>
    </row>
    <row r="201" spans="2:10" x14ac:dyDescent="0.35">
      <c r="B201" s="76" t="s">
        <v>277</v>
      </c>
      <c r="C201" s="78">
        <v>45869</v>
      </c>
      <c r="D201" s="76">
        <v>966</v>
      </c>
      <c r="E201" s="79">
        <v>2000</v>
      </c>
      <c r="F201" s="80">
        <v>436.25</v>
      </c>
      <c r="G201" s="81">
        <f t="shared" si="19"/>
        <v>872500</v>
      </c>
    </row>
    <row r="202" spans="2:10" x14ac:dyDescent="0.35">
      <c r="B202" s="76" t="s">
        <v>275</v>
      </c>
      <c r="C202" s="78">
        <v>45859</v>
      </c>
      <c r="D202" s="76">
        <v>41047</v>
      </c>
      <c r="E202" s="79">
        <v>2000</v>
      </c>
      <c r="F202" s="80">
        <v>449.01</v>
      </c>
      <c r="G202" s="81">
        <f t="shared" si="19"/>
        <v>898020</v>
      </c>
    </row>
    <row r="203" spans="2:10" x14ac:dyDescent="0.35">
      <c r="B203" s="76" t="s">
        <v>278</v>
      </c>
      <c r="C203" s="78">
        <v>45869</v>
      </c>
      <c r="D203" s="76">
        <v>80413</v>
      </c>
      <c r="E203" s="79">
        <v>46000</v>
      </c>
      <c r="F203" s="80">
        <v>437.4</v>
      </c>
      <c r="G203" s="81">
        <f t="shared" si="19"/>
        <v>20120400</v>
      </c>
    </row>
    <row r="204" spans="2:10" x14ac:dyDescent="0.35">
      <c r="B204" s="76" t="s">
        <v>275</v>
      </c>
      <c r="C204" s="78">
        <v>45869</v>
      </c>
      <c r="D204" s="76">
        <v>41132</v>
      </c>
      <c r="E204" s="79">
        <v>2000</v>
      </c>
      <c r="F204" s="80">
        <v>449.01</v>
      </c>
      <c r="G204" s="81">
        <f t="shared" si="19"/>
        <v>898020</v>
      </c>
    </row>
    <row r="205" spans="2:10" x14ac:dyDescent="0.35">
      <c r="B205" s="76" t="s">
        <v>275</v>
      </c>
      <c r="C205" s="78">
        <v>45869</v>
      </c>
      <c r="D205" s="76">
        <v>41131</v>
      </c>
      <c r="E205" s="79">
        <v>5000</v>
      </c>
      <c r="F205" s="80">
        <v>449.01</v>
      </c>
      <c r="G205" s="81">
        <f t="shared" ref="G205:G208" si="20">E205*F205</f>
        <v>2245050</v>
      </c>
    </row>
    <row r="206" spans="2:10" x14ac:dyDescent="0.35">
      <c r="B206" s="76" t="s">
        <v>275</v>
      </c>
      <c r="C206" s="78">
        <v>45863</v>
      </c>
      <c r="D206" s="76">
        <v>41082</v>
      </c>
      <c r="E206" s="79">
        <v>10000</v>
      </c>
      <c r="F206" s="80">
        <v>449.01</v>
      </c>
      <c r="G206" s="81">
        <f t="shared" si="20"/>
        <v>4490100</v>
      </c>
    </row>
    <row r="207" spans="2:10" x14ac:dyDescent="0.35">
      <c r="B207" s="76" t="s">
        <v>275</v>
      </c>
      <c r="C207" s="78">
        <v>45853</v>
      </c>
      <c r="D207" s="76">
        <v>40988</v>
      </c>
      <c r="E207" s="79">
        <v>14000</v>
      </c>
      <c r="F207" s="80">
        <v>449.01</v>
      </c>
      <c r="G207" s="81">
        <f t="shared" si="20"/>
        <v>6286140</v>
      </c>
    </row>
    <row r="208" spans="2:10" x14ac:dyDescent="0.35">
      <c r="B208" s="76" t="s">
        <v>278</v>
      </c>
      <c r="C208" s="78">
        <v>45874</v>
      </c>
      <c r="D208" s="76">
        <v>80437</v>
      </c>
      <c r="E208" s="79">
        <v>2000</v>
      </c>
      <c r="F208" s="80">
        <v>437.4</v>
      </c>
      <c r="G208" s="81">
        <f t="shared" si="20"/>
        <v>874800</v>
      </c>
      <c r="J208" s="50"/>
    </row>
    <row r="209" spans="2:10" x14ac:dyDescent="0.35">
      <c r="B209" s="76" t="s">
        <v>275</v>
      </c>
      <c r="C209" s="78">
        <v>45856</v>
      </c>
      <c r="D209" s="76">
        <v>41032</v>
      </c>
      <c r="E209" s="79">
        <v>3000</v>
      </c>
      <c r="F209" s="80">
        <v>449.01</v>
      </c>
      <c r="G209" s="81">
        <f t="shared" si="19"/>
        <v>1347030</v>
      </c>
    </row>
    <row r="210" spans="2:10" x14ac:dyDescent="0.35">
      <c r="B210" s="76" t="s">
        <v>275</v>
      </c>
      <c r="C210" s="78">
        <v>45868</v>
      </c>
      <c r="D210" s="76">
        <v>41115</v>
      </c>
      <c r="E210" s="79">
        <v>8000</v>
      </c>
      <c r="F210" s="80">
        <v>449.01</v>
      </c>
      <c r="G210" s="81">
        <f t="shared" si="19"/>
        <v>3592080</v>
      </c>
    </row>
    <row r="211" spans="2:10" x14ac:dyDescent="0.35">
      <c r="B211" s="76" t="s">
        <v>277</v>
      </c>
      <c r="C211" s="78">
        <v>45869</v>
      </c>
      <c r="D211" s="76">
        <v>965</v>
      </c>
      <c r="E211" s="79">
        <v>4000</v>
      </c>
      <c r="F211" s="80">
        <v>436.25</v>
      </c>
      <c r="G211" s="81">
        <f t="shared" si="19"/>
        <v>1745000</v>
      </c>
    </row>
    <row r="212" spans="2:10" x14ac:dyDescent="0.35">
      <c r="B212" s="76" t="s">
        <v>275</v>
      </c>
      <c r="C212" s="78">
        <v>45841</v>
      </c>
      <c r="D212" s="76">
        <v>40877</v>
      </c>
      <c r="E212" s="79">
        <v>3500</v>
      </c>
      <c r="F212" s="80">
        <v>449.01</v>
      </c>
      <c r="G212" s="81">
        <f t="shared" si="19"/>
        <v>1571535</v>
      </c>
      <c r="J212" s="50"/>
    </row>
    <row r="213" spans="2:10" x14ac:dyDescent="0.35">
      <c r="B213" s="76" t="s">
        <v>275</v>
      </c>
      <c r="C213" s="78">
        <v>45842</v>
      </c>
      <c r="D213" s="76">
        <v>40895</v>
      </c>
      <c r="E213" s="79">
        <v>6500</v>
      </c>
      <c r="F213" s="80">
        <v>449.01</v>
      </c>
      <c r="G213" s="81">
        <f t="shared" si="19"/>
        <v>2918565</v>
      </c>
      <c r="J213" s="50"/>
    </row>
    <row r="214" spans="2:10" x14ac:dyDescent="0.35">
      <c r="B214" s="76" t="s">
        <v>275</v>
      </c>
      <c r="C214" s="78">
        <v>45859</v>
      </c>
      <c r="D214" s="76">
        <v>41048</v>
      </c>
      <c r="E214" s="79">
        <v>6000</v>
      </c>
      <c r="F214" s="80">
        <v>449.01</v>
      </c>
      <c r="G214" s="81">
        <f t="shared" si="19"/>
        <v>2694060</v>
      </c>
      <c r="J214" s="50"/>
    </row>
    <row r="215" spans="2:10" x14ac:dyDescent="0.35">
      <c r="B215" s="76" t="s">
        <v>279</v>
      </c>
      <c r="C215" s="78">
        <v>45848</v>
      </c>
      <c r="D215" s="76">
        <v>28498</v>
      </c>
      <c r="E215" s="79">
        <v>2000</v>
      </c>
      <c r="F215" s="80">
        <v>449.01</v>
      </c>
      <c r="G215" s="81">
        <f t="shared" si="19"/>
        <v>898020</v>
      </c>
      <c r="J215" s="50"/>
    </row>
    <row r="216" spans="2:10" x14ac:dyDescent="0.35">
      <c r="B216" s="76" t="s">
        <v>279</v>
      </c>
      <c r="C216" s="78">
        <v>45852</v>
      </c>
      <c r="D216" s="76">
        <v>28505</v>
      </c>
      <c r="E216" s="79">
        <v>4500</v>
      </c>
      <c r="F216" s="80">
        <v>449.01</v>
      </c>
      <c r="G216" s="81">
        <f t="shared" ref="G216:G219" si="21">E216*F216</f>
        <v>2020545</v>
      </c>
      <c r="J216" s="50"/>
    </row>
    <row r="217" spans="2:10" x14ac:dyDescent="0.35">
      <c r="B217" s="76" t="s">
        <v>279</v>
      </c>
      <c r="C217" s="78">
        <v>45855</v>
      </c>
      <c r="D217" s="76">
        <v>28513</v>
      </c>
      <c r="E217" s="79">
        <v>8500</v>
      </c>
      <c r="F217" s="80">
        <v>449.01</v>
      </c>
      <c r="G217" s="81">
        <f t="shared" si="21"/>
        <v>3816585</v>
      </c>
      <c r="J217" s="50"/>
    </row>
    <row r="218" spans="2:10" x14ac:dyDescent="0.35">
      <c r="B218" s="76" t="s">
        <v>279</v>
      </c>
      <c r="C218" s="78">
        <v>45845</v>
      </c>
      <c r="D218" s="76">
        <v>28483</v>
      </c>
      <c r="E218" s="79">
        <v>5000</v>
      </c>
      <c r="F218" s="80">
        <v>449.01</v>
      </c>
      <c r="G218" s="81">
        <f t="shared" si="21"/>
        <v>2245050</v>
      </c>
      <c r="J218" s="50"/>
    </row>
    <row r="219" spans="2:10" x14ac:dyDescent="0.35">
      <c r="B219" s="76" t="s">
        <v>279</v>
      </c>
      <c r="C219" s="78">
        <v>45840</v>
      </c>
      <c r="D219" s="76">
        <v>28456</v>
      </c>
      <c r="E219" s="79">
        <v>5000</v>
      </c>
      <c r="F219" s="80">
        <v>449.01</v>
      </c>
      <c r="G219" s="81">
        <f t="shared" si="21"/>
        <v>2245050</v>
      </c>
      <c r="J219" s="50"/>
    </row>
    <row r="220" spans="2:10" x14ac:dyDescent="0.35">
      <c r="B220" s="76" t="s">
        <v>279</v>
      </c>
      <c r="C220" s="78">
        <v>45842</v>
      </c>
      <c r="D220" s="76">
        <v>28469</v>
      </c>
      <c r="E220" s="79">
        <v>5000</v>
      </c>
      <c r="F220" s="80">
        <v>449.01</v>
      </c>
      <c r="G220" s="81">
        <f t="shared" si="19"/>
        <v>2245050</v>
      </c>
      <c r="J220" s="50"/>
    </row>
    <row r="221" spans="2:10" x14ac:dyDescent="0.35">
      <c r="B221" s="76" t="s">
        <v>279</v>
      </c>
      <c r="C221" s="78">
        <v>45839</v>
      </c>
      <c r="D221" s="76">
        <v>28450</v>
      </c>
      <c r="E221" s="79">
        <v>12000</v>
      </c>
      <c r="F221" s="80">
        <v>449.01</v>
      </c>
      <c r="G221" s="81">
        <f t="shared" si="19"/>
        <v>5388120</v>
      </c>
      <c r="J221" s="50"/>
    </row>
    <row r="222" spans="2:10" x14ac:dyDescent="0.35">
      <c r="B222" s="76" t="s">
        <v>279</v>
      </c>
      <c r="C222" s="78">
        <v>45874</v>
      </c>
      <c r="D222" s="76">
        <v>28564</v>
      </c>
      <c r="E222" s="79">
        <v>1000</v>
      </c>
      <c r="F222" s="80">
        <v>449.01</v>
      </c>
      <c r="G222" s="81">
        <f t="shared" si="19"/>
        <v>449010</v>
      </c>
      <c r="J222" s="50"/>
    </row>
    <row r="223" spans="2:10" x14ac:dyDescent="0.35">
      <c r="B223" s="76" t="s">
        <v>372</v>
      </c>
      <c r="C223" s="78">
        <v>45875</v>
      </c>
      <c r="D223" s="76">
        <v>29973</v>
      </c>
      <c r="E223" s="79">
        <v>2500</v>
      </c>
      <c r="F223" s="80">
        <v>435.04</v>
      </c>
      <c r="G223" s="81">
        <f t="shared" si="19"/>
        <v>1087600</v>
      </c>
      <c r="J223" s="50"/>
    </row>
    <row r="224" spans="2:10" x14ac:dyDescent="0.35">
      <c r="B224" s="264" t="s">
        <v>68</v>
      </c>
      <c r="C224" s="264"/>
      <c r="D224" s="264"/>
      <c r="E224" s="83">
        <f>SUM(E196:E223)</f>
        <v>216829.36</v>
      </c>
      <c r="F224" s="84">
        <f>IFERROR((G224/E224),0)</f>
        <v>445.58165835252868</v>
      </c>
      <c r="G224" s="85">
        <f>SUM(G196:G223)</f>
        <v>96615185.808317438</v>
      </c>
      <c r="J224" s="50"/>
    </row>
    <row r="225" spans="2:10" x14ac:dyDescent="0.35">
      <c r="J225" s="50"/>
    </row>
    <row r="226" spans="2:10" x14ac:dyDescent="0.35">
      <c r="B226" s="261" t="s">
        <v>69</v>
      </c>
      <c r="C226" s="261"/>
      <c r="D226" s="261"/>
      <c r="E226" s="261"/>
      <c r="F226" s="262" t="s">
        <v>213</v>
      </c>
      <c r="G226" s="263"/>
    </row>
    <row r="227" spans="2:10" x14ac:dyDescent="0.35">
      <c r="B227" s="62" t="s">
        <v>63</v>
      </c>
      <c r="C227" s="62" t="s">
        <v>104</v>
      </c>
      <c r="D227" s="62" t="s">
        <v>65</v>
      </c>
      <c r="E227" s="62" t="s">
        <v>66</v>
      </c>
      <c r="F227" s="74" t="s">
        <v>64</v>
      </c>
      <c r="G227" s="75" t="s">
        <v>67</v>
      </c>
    </row>
    <row r="228" spans="2:10" x14ac:dyDescent="0.35">
      <c r="B228" s="76" t="s">
        <v>276</v>
      </c>
      <c r="C228" s="78">
        <v>45898</v>
      </c>
      <c r="D228" s="76">
        <v>10208</v>
      </c>
      <c r="E228" s="79">
        <v>26</v>
      </c>
      <c r="F228" s="80">
        <v>448.14</v>
      </c>
      <c r="G228" s="81">
        <f>F228*E228</f>
        <v>11651.64</v>
      </c>
    </row>
    <row r="229" spans="2:10" x14ac:dyDescent="0.35">
      <c r="B229" s="76" t="s">
        <v>276</v>
      </c>
      <c r="C229" s="78">
        <v>45898</v>
      </c>
      <c r="D229" s="76">
        <v>10207</v>
      </c>
      <c r="E229" s="79">
        <v>450</v>
      </c>
      <c r="F229" s="80">
        <v>448.14</v>
      </c>
      <c r="G229" s="81">
        <f t="shared" ref="G229:G251" si="22">F229*E229</f>
        <v>201663</v>
      </c>
    </row>
    <row r="230" spans="2:10" x14ac:dyDescent="0.35">
      <c r="B230" s="76" t="s">
        <v>276</v>
      </c>
      <c r="C230" s="78">
        <v>45898</v>
      </c>
      <c r="D230" s="76">
        <v>86214</v>
      </c>
      <c r="E230" s="79">
        <v>50274</v>
      </c>
      <c r="F230" s="80">
        <v>448.14</v>
      </c>
      <c r="G230" s="81">
        <f t="shared" si="22"/>
        <v>22529790.359999999</v>
      </c>
      <c r="I230" s="10"/>
      <c r="J230" s="51"/>
    </row>
    <row r="231" spans="2:10" x14ac:dyDescent="0.35">
      <c r="B231" s="76" t="s">
        <v>275</v>
      </c>
      <c r="C231" s="78">
        <v>45902</v>
      </c>
      <c r="D231" s="76">
        <v>41463</v>
      </c>
      <c r="E231" s="79">
        <v>1000</v>
      </c>
      <c r="F231" s="80">
        <v>449.01</v>
      </c>
      <c r="G231" s="81">
        <f t="shared" si="22"/>
        <v>449010</v>
      </c>
    </row>
    <row r="232" spans="2:10" x14ac:dyDescent="0.35">
      <c r="B232" s="76" t="s">
        <v>275</v>
      </c>
      <c r="C232" s="78">
        <v>45898</v>
      </c>
      <c r="D232" s="76">
        <v>41436</v>
      </c>
      <c r="E232" s="79">
        <v>3000</v>
      </c>
      <c r="F232" s="80">
        <v>449.01</v>
      </c>
      <c r="G232" s="81">
        <f t="shared" si="22"/>
        <v>1347030</v>
      </c>
    </row>
    <row r="233" spans="2:10" x14ac:dyDescent="0.35">
      <c r="B233" s="76" t="s">
        <v>277</v>
      </c>
      <c r="C233" s="78">
        <v>45898</v>
      </c>
      <c r="D233" s="76">
        <v>969</v>
      </c>
      <c r="E233" s="79">
        <v>5000</v>
      </c>
      <c r="F233" s="80">
        <v>436.25</v>
      </c>
      <c r="G233" s="81">
        <f t="shared" si="22"/>
        <v>2181250</v>
      </c>
    </row>
    <row r="234" spans="2:10" x14ac:dyDescent="0.35">
      <c r="B234" s="76" t="s">
        <v>275</v>
      </c>
      <c r="C234" s="78">
        <v>45874</v>
      </c>
      <c r="D234" s="76">
        <v>41215</v>
      </c>
      <c r="E234" s="79">
        <v>3000</v>
      </c>
      <c r="F234" s="80">
        <v>449.01</v>
      </c>
      <c r="G234" s="81">
        <f t="shared" si="22"/>
        <v>1347030</v>
      </c>
    </row>
    <row r="235" spans="2:10" x14ac:dyDescent="0.35">
      <c r="B235" s="76" t="s">
        <v>275</v>
      </c>
      <c r="C235" s="78">
        <v>45875</v>
      </c>
      <c r="D235" s="76">
        <v>41233</v>
      </c>
      <c r="E235" s="79">
        <v>7000</v>
      </c>
      <c r="F235" s="80">
        <v>449.01</v>
      </c>
      <c r="G235" s="81">
        <f t="shared" si="22"/>
        <v>3143070</v>
      </c>
    </row>
    <row r="236" spans="2:10" x14ac:dyDescent="0.35">
      <c r="B236" s="76" t="s">
        <v>275</v>
      </c>
      <c r="C236" s="78">
        <v>45884</v>
      </c>
      <c r="D236" s="76">
        <v>41317</v>
      </c>
      <c r="E236" s="79">
        <v>15000</v>
      </c>
      <c r="F236" s="80">
        <v>449.01</v>
      </c>
      <c r="G236" s="81">
        <f t="shared" si="22"/>
        <v>6735150</v>
      </c>
    </row>
    <row r="237" spans="2:10" x14ac:dyDescent="0.35">
      <c r="B237" s="76" t="s">
        <v>275</v>
      </c>
      <c r="C237" s="78">
        <v>45887</v>
      </c>
      <c r="D237" s="76">
        <v>41332</v>
      </c>
      <c r="E237" s="79">
        <v>5000</v>
      </c>
      <c r="F237" s="80">
        <v>449.01</v>
      </c>
      <c r="G237" s="81">
        <f t="shared" si="22"/>
        <v>2245050</v>
      </c>
    </row>
    <row r="238" spans="2:10" x14ac:dyDescent="0.35">
      <c r="B238" s="76" t="s">
        <v>275</v>
      </c>
      <c r="C238" s="78">
        <v>45889</v>
      </c>
      <c r="D238" s="76">
        <v>41353</v>
      </c>
      <c r="E238" s="79">
        <v>10000</v>
      </c>
      <c r="F238" s="80">
        <v>449.01</v>
      </c>
      <c r="G238" s="81">
        <f t="shared" si="22"/>
        <v>4490100</v>
      </c>
    </row>
    <row r="239" spans="2:10" x14ac:dyDescent="0.35">
      <c r="B239" s="76" t="s">
        <v>275</v>
      </c>
      <c r="C239" s="78">
        <v>45894</v>
      </c>
      <c r="D239" s="76">
        <v>41387</v>
      </c>
      <c r="E239" s="79">
        <v>8000</v>
      </c>
      <c r="F239" s="80">
        <v>449.01</v>
      </c>
      <c r="G239" s="81">
        <f t="shared" si="22"/>
        <v>3592080</v>
      </c>
    </row>
    <row r="240" spans="2:10" x14ac:dyDescent="0.35">
      <c r="B240" s="76" t="s">
        <v>275</v>
      </c>
      <c r="C240" s="78">
        <v>45898</v>
      </c>
      <c r="D240" s="76">
        <v>41430</v>
      </c>
      <c r="E240" s="79">
        <v>8000</v>
      </c>
      <c r="F240" s="80">
        <v>449.01</v>
      </c>
      <c r="G240" s="81">
        <f t="shared" si="22"/>
        <v>3592080</v>
      </c>
    </row>
    <row r="241" spans="2:10" x14ac:dyDescent="0.35">
      <c r="B241" s="76" t="s">
        <v>278</v>
      </c>
      <c r="C241" s="78">
        <v>45898</v>
      </c>
      <c r="D241" s="76">
        <v>80565</v>
      </c>
      <c r="E241" s="79">
        <v>43000</v>
      </c>
      <c r="F241" s="80">
        <v>437.4</v>
      </c>
      <c r="G241" s="81">
        <f t="shared" si="22"/>
        <v>18808200</v>
      </c>
    </row>
    <row r="242" spans="2:10" x14ac:dyDescent="0.35">
      <c r="B242" s="76" t="s">
        <v>278</v>
      </c>
      <c r="C242" s="78">
        <v>45903</v>
      </c>
      <c r="D242" s="76">
        <v>80597</v>
      </c>
      <c r="E242" s="79">
        <v>3000</v>
      </c>
      <c r="F242" s="80">
        <v>437.4</v>
      </c>
      <c r="G242" s="81">
        <f t="shared" ref="G242:G243" si="23">F242*E242</f>
        <v>1312200</v>
      </c>
    </row>
    <row r="243" spans="2:10" x14ac:dyDescent="0.35">
      <c r="B243" s="76" t="s">
        <v>277</v>
      </c>
      <c r="C243" s="78">
        <v>45903</v>
      </c>
      <c r="D243" s="76">
        <v>970</v>
      </c>
      <c r="E243" s="79">
        <v>1000</v>
      </c>
      <c r="F243" s="80">
        <v>436.25</v>
      </c>
      <c r="G243" s="81">
        <f t="shared" si="23"/>
        <v>436250</v>
      </c>
    </row>
    <row r="244" spans="2:10" x14ac:dyDescent="0.35">
      <c r="B244" s="76" t="s">
        <v>280</v>
      </c>
      <c r="C244" s="78">
        <v>45903</v>
      </c>
      <c r="D244" s="76">
        <v>2109</v>
      </c>
      <c r="E244" s="79">
        <v>911.3</v>
      </c>
      <c r="F244" s="80">
        <v>436.25</v>
      </c>
      <c r="G244" s="81">
        <f>F244*E244</f>
        <v>397554.625</v>
      </c>
    </row>
    <row r="245" spans="2:10" x14ac:dyDescent="0.35">
      <c r="B245" s="76" t="s">
        <v>280</v>
      </c>
      <c r="C245" s="78">
        <v>45895</v>
      </c>
      <c r="D245" s="76">
        <v>2093</v>
      </c>
      <c r="E245" s="79">
        <v>775.34</v>
      </c>
      <c r="F245" s="80">
        <v>436.25000599999998</v>
      </c>
      <c r="G245" s="81">
        <f t="shared" ref="G245:G249" si="24">F245*E245</f>
        <v>338242.07965203997</v>
      </c>
    </row>
    <row r="246" spans="2:10" x14ac:dyDescent="0.35">
      <c r="B246" s="76" t="s">
        <v>279</v>
      </c>
      <c r="C246" s="78">
        <v>45877</v>
      </c>
      <c r="D246" s="76">
        <v>28577</v>
      </c>
      <c r="E246" s="79">
        <v>2000</v>
      </c>
      <c r="F246" s="80">
        <v>449.01</v>
      </c>
      <c r="G246" s="81">
        <f t="shared" si="24"/>
        <v>898020</v>
      </c>
      <c r="H246" s="56"/>
      <c r="I246" s="10"/>
      <c r="J246" s="51"/>
    </row>
    <row r="247" spans="2:10" x14ac:dyDescent="0.35">
      <c r="B247" s="76" t="s">
        <v>279</v>
      </c>
      <c r="C247" s="78">
        <v>45904</v>
      </c>
      <c r="D247" s="76">
        <v>28653</v>
      </c>
      <c r="E247" s="79">
        <v>1110.58</v>
      </c>
      <c r="F247" s="80">
        <v>449.01</v>
      </c>
      <c r="G247" s="81">
        <f t="shared" si="24"/>
        <v>498661.52579999994</v>
      </c>
    </row>
    <row r="248" spans="2:10" x14ac:dyDescent="0.35">
      <c r="B248" s="76" t="s">
        <v>279</v>
      </c>
      <c r="C248" s="78">
        <v>45891</v>
      </c>
      <c r="D248" s="76">
        <v>28614</v>
      </c>
      <c r="E248" s="79">
        <v>847</v>
      </c>
      <c r="F248" s="80">
        <v>449.01</v>
      </c>
      <c r="G248" s="81">
        <f t="shared" si="24"/>
        <v>380311.47</v>
      </c>
    </row>
    <row r="249" spans="2:10" x14ac:dyDescent="0.35">
      <c r="B249" s="76" t="s">
        <v>279</v>
      </c>
      <c r="C249" s="78">
        <v>45888</v>
      </c>
      <c r="D249" s="76">
        <v>28598</v>
      </c>
      <c r="E249" s="79">
        <v>8500</v>
      </c>
      <c r="F249" s="80">
        <v>449.01</v>
      </c>
      <c r="G249" s="81">
        <f t="shared" si="24"/>
        <v>3816585</v>
      </c>
    </row>
    <row r="250" spans="2:10" x14ac:dyDescent="0.35">
      <c r="B250" s="76" t="s">
        <v>279</v>
      </c>
      <c r="C250" s="78">
        <v>45870</v>
      </c>
      <c r="D250" s="76">
        <v>28558</v>
      </c>
      <c r="E250" s="79">
        <v>16000</v>
      </c>
      <c r="F250" s="80">
        <v>449.01</v>
      </c>
      <c r="G250" s="81">
        <f t="shared" si="22"/>
        <v>7184160</v>
      </c>
    </row>
    <row r="251" spans="2:10" x14ac:dyDescent="0.35">
      <c r="B251" s="76" t="s">
        <v>279</v>
      </c>
      <c r="C251" s="78">
        <v>45874</v>
      </c>
      <c r="D251" s="76">
        <v>28563</v>
      </c>
      <c r="E251" s="79">
        <v>5000</v>
      </c>
      <c r="F251" s="80">
        <v>449.01</v>
      </c>
      <c r="G251" s="81">
        <f t="shared" si="22"/>
        <v>2245050</v>
      </c>
    </row>
    <row r="252" spans="2:10" x14ac:dyDescent="0.35">
      <c r="B252" s="76" t="s">
        <v>279</v>
      </c>
      <c r="C252" s="78">
        <v>45875</v>
      </c>
      <c r="D252" s="76">
        <v>28571</v>
      </c>
      <c r="E252" s="79">
        <v>3000</v>
      </c>
      <c r="F252" s="80">
        <v>449.01</v>
      </c>
      <c r="G252" s="81">
        <f>F252*E252</f>
        <v>1347030</v>
      </c>
    </row>
    <row r="253" spans="2:10" x14ac:dyDescent="0.35">
      <c r="B253" s="76" t="s">
        <v>279</v>
      </c>
      <c r="C253" s="78">
        <v>45876</v>
      </c>
      <c r="D253" s="76">
        <v>28574</v>
      </c>
      <c r="E253" s="79">
        <v>2000</v>
      </c>
      <c r="F253" s="80">
        <v>449.01</v>
      </c>
      <c r="G253" s="81">
        <f t="shared" ref="G253:G255" si="25">F253*E253</f>
        <v>898020</v>
      </c>
    </row>
    <row r="254" spans="2:10" x14ac:dyDescent="0.35">
      <c r="B254" s="76" t="s">
        <v>279</v>
      </c>
      <c r="C254" s="78">
        <v>45880</v>
      </c>
      <c r="D254" s="76">
        <v>28581</v>
      </c>
      <c r="E254" s="79">
        <v>1500</v>
      </c>
      <c r="F254" s="80">
        <v>449.01</v>
      </c>
      <c r="G254" s="81">
        <f t="shared" si="25"/>
        <v>673515</v>
      </c>
      <c r="H254" s="56"/>
      <c r="I254" s="10"/>
      <c r="J254" s="51"/>
    </row>
    <row r="255" spans="2:10" x14ac:dyDescent="0.35">
      <c r="B255" s="76" t="s">
        <v>372</v>
      </c>
      <c r="C255" s="78">
        <v>45889</v>
      </c>
      <c r="D255" s="76">
        <v>299840</v>
      </c>
      <c r="E255" s="79">
        <v>271.45</v>
      </c>
      <c r="F255" s="80">
        <v>435.040007</v>
      </c>
      <c r="G255" s="81">
        <f t="shared" si="25"/>
        <v>118091.60990015</v>
      </c>
    </row>
    <row r="256" spans="2:10" x14ac:dyDescent="0.35">
      <c r="B256" s="264" t="s">
        <v>68</v>
      </c>
      <c r="C256" s="264"/>
      <c r="D256" s="264"/>
      <c r="E256" s="83">
        <f>SUM(E228:E255)</f>
        <v>204665.66999999998</v>
      </c>
      <c r="F256" s="84">
        <f>G256/E256</f>
        <v>445.68708719128222</v>
      </c>
      <c r="G256" s="85">
        <f>SUM(G228:G255)</f>
        <v>91216846.310352191</v>
      </c>
    </row>
    <row r="258" spans="2:7" x14ac:dyDescent="0.35">
      <c r="B258" s="261" t="s">
        <v>69</v>
      </c>
      <c r="C258" s="261"/>
      <c r="D258" s="261"/>
      <c r="E258" s="261"/>
      <c r="F258" s="262" t="s">
        <v>214</v>
      </c>
      <c r="G258" s="263"/>
    </row>
    <row r="259" spans="2:7" x14ac:dyDescent="0.35">
      <c r="B259" s="62" t="s">
        <v>63</v>
      </c>
      <c r="C259" s="62" t="s">
        <v>104</v>
      </c>
      <c r="D259" s="62" t="s">
        <v>65</v>
      </c>
      <c r="E259" s="62" t="s">
        <v>66</v>
      </c>
      <c r="F259" s="74" t="s">
        <v>64</v>
      </c>
      <c r="G259" s="75" t="s">
        <v>67</v>
      </c>
    </row>
    <row r="260" spans="2:7" ht="14.25" customHeight="1" x14ac:dyDescent="0.35">
      <c r="B260" s="76" t="s">
        <v>278</v>
      </c>
      <c r="C260" s="206">
        <v>45933</v>
      </c>
      <c r="D260" s="76">
        <v>80737</v>
      </c>
      <c r="E260" s="79">
        <v>2000</v>
      </c>
      <c r="F260" s="80">
        <v>437.4</v>
      </c>
      <c r="G260" s="81">
        <f>F260*E260</f>
        <v>874800</v>
      </c>
    </row>
    <row r="261" spans="2:7" x14ac:dyDescent="0.35">
      <c r="B261" s="76" t="s">
        <v>276</v>
      </c>
      <c r="C261" s="206">
        <v>45930</v>
      </c>
      <c r="D261" s="76">
        <v>88271</v>
      </c>
      <c r="E261" s="79">
        <v>56974</v>
      </c>
      <c r="F261" s="80">
        <v>448.14</v>
      </c>
      <c r="G261" s="81">
        <f t="shared" ref="G261:G283" si="26">F261*E261</f>
        <v>25532328.359999999</v>
      </c>
    </row>
    <row r="262" spans="2:7" x14ac:dyDescent="0.35">
      <c r="B262" s="76" t="s">
        <v>278</v>
      </c>
      <c r="C262" s="206">
        <v>45930</v>
      </c>
      <c r="D262" s="76">
        <v>80715</v>
      </c>
      <c r="E262" s="79">
        <v>44000</v>
      </c>
      <c r="F262" s="80">
        <v>437.4</v>
      </c>
      <c r="G262" s="81">
        <f t="shared" si="26"/>
        <v>19245600</v>
      </c>
    </row>
    <row r="263" spans="2:7" x14ac:dyDescent="0.35">
      <c r="B263" s="76" t="s">
        <v>276</v>
      </c>
      <c r="C263" s="206">
        <v>45930</v>
      </c>
      <c r="D263" s="76">
        <v>10319</v>
      </c>
      <c r="E263" s="79">
        <v>26</v>
      </c>
      <c r="F263" s="80">
        <v>448.14</v>
      </c>
      <c r="G263" s="81">
        <f t="shared" si="26"/>
        <v>11651.64</v>
      </c>
    </row>
    <row r="264" spans="2:7" x14ac:dyDescent="0.35">
      <c r="B264" s="76" t="s">
        <v>280</v>
      </c>
      <c r="C264" s="207">
        <v>45930</v>
      </c>
      <c r="D264" s="76">
        <v>2177</v>
      </c>
      <c r="E264" s="79">
        <v>1009.68</v>
      </c>
      <c r="F264" s="80">
        <v>436.25</v>
      </c>
      <c r="G264" s="81">
        <f t="shared" si="26"/>
        <v>440472.89999999997</v>
      </c>
    </row>
    <row r="265" spans="2:7" ht="13.5" customHeight="1" x14ac:dyDescent="0.35">
      <c r="B265" s="76" t="s">
        <v>280</v>
      </c>
      <c r="C265" s="207">
        <v>45936</v>
      </c>
      <c r="D265" s="76">
        <v>2193</v>
      </c>
      <c r="E265" s="79">
        <v>1018.31</v>
      </c>
      <c r="F265" s="80">
        <v>436.25000199999999</v>
      </c>
      <c r="G265" s="81">
        <f t="shared" si="26"/>
        <v>444237.73953661998</v>
      </c>
    </row>
    <row r="266" spans="2:7" ht="15" customHeight="1" x14ac:dyDescent="0.35">
      <c r="B266" s="76" t="s">
        <v>280</v>
      </c>
      <c r="C266" s="207">
        <v>45924</v>
      </c>
      <c r="D266" s="76">
        <v>2165</v>
      </c>
      <c r="E266" s="79">
        <v>823.46</v>
      </c>
      <c r="F266" s="80">
        <v>436.25000599999998</v>
      </c>
      <c r="G266" s="81">
        <f t="shared" si="26"/>
        <v>359234.42994076002</v>
      </c>
    </row>
    <row r="267" spans="2:7" ht="15" customHeight="1" x14ac:dyDescent="0.35">
      <c r="B267" s="76" t="s">
        <v>279</v>
      </c>
      <c r="C267" s="207">
        <v>45935</v>
      </c>
      <c r="D267" s="76">
        <v>28654</v>
      </c>
      <c r="E267" s="79">
        <v>10000</v>
      </c>
      <c r="F267" s="80">
        <v>449.01</v>
      </c>
      <c r="G267" s="81">
        <f t="shared" si="26"/>
        <v>4490100</v>
      </c>
    </row>
    <row r="268" spans="2:7" ht="13.5" customHeight="1" x14ac:dyDescent="0.35">
      <c r="B268" s="76" t="s">
        <v>279</v>
      </c>
      <c r="C268" s="207">
        <v>45903</v>
      </c>
      <c r="D268" s="76">
        <v>28648</v>
      </c>
      <c r="E268" s="79">
        <v>10000</v>
      </c>
      <c r="F268" s="80">
        <v>449.01</v>
      </c>
      <c r="G268" s="81">
        <f t="shared" si="26"/>
        <v>4490100</v>
      </c>
    </row>
    <row r="269" spans="2:7" ht="12" customHeight="1" x14ac:dyDescent="0.35">
      <c r="B269" s="76" t="s">
        <v>277</v>
      </c>
      <c r="C269" s="207">
        <v>45936</v>
      </c>
      <c r="D269" s="76">
        <v>972</v>
      </c>
      <c r="E269" s="79">
        <v>1000</v>
      </c>
      <c r="F269" s="80">
        <v>436.25</v>
      </c>
      <c r="G269" s="81">
        <f t="shared" si="26"/>
        <v>436250</v>
      </c>
    </row>
    <row r="270" spans="2:7" ht="14.25" customHeight="1" x14ac:dyDescent="0.35">
      <c r="B270" s="76" t="s">
        <v>277</v>
      </c>
      <c r="C270" s="207">
        <v>45930</v>
      </c>
      <c r="D270" s="76">
        <v>971</v>
      </c>
      <c r="E270" s="79">
        <v>4000</v>
      </c>
      <c r="F270" s="80">
        <v>436.25</v>
      </c>
      <c r="G270" s="81">
        <f t="shared" si="26"/>
        <v>1745000</v>
      </c>
    </row>
    <row r="271" spans="2:7" ht="12" customHeight="1" x14ac:dyDescent="0.35">
      <c r="B271" s="76" t="s">
        <v>277</v>
      </c>
      <c r="C271" s="207">
        <v>45936</v>
      </c>
      <c r="D271" s="76">
        <v>973</v>
      </c>
      <c r="E271" s="79">
        <v>1000</v>
      </c>
      <c r="F271" s="80">
        <v>436.25</v>
      </c>
      <c r="G271" s="81">
        <f t="shared" si="26"/>
        <v>436250</v>
      </c>
    </row>
    <row r="272" spans="2:7" ht="12" customHeight="1" x14ac:dyDescent="0.35">
      <c r="B272" s="76" t="s">
        <v>279</v>
      </c>
      <c r="C272" s="207">
        <v>45918</v>
      </c>
      <c r="D272" s="76">
        <v>28695</v>
      </c>
      <c r="E272" s="79">
        <v>10000</v>
      </c>
      <c r="F272" s="80">
        <v>449.01</v>
      </c>
      <c r="G272" s="81">
        <f t="shared" si="26"/>
        <v>4490100</v>
      </c>
    </row>
    <row r="273" spans="2:7" ht="12" customHeight="1" x14ac:dyDescent="0.35">
      <c r="B273" s="76" t="s">
        <v>279</v>
      </c>
      <c r="C273" s="207">
        <v>45936</v>
      </c>
      <c r="D273" s="76">
        <v>28724</v>
      </c>
      <c r="E273" s="79">
        <v>2126.4</v>
      </c>
      <c r="F273" s="80">
        <v>449.01</v>
      </c>
      <c r="G273" s="81">
        <f t="shared" si="26"/>
        <v>954774.86400000006</v>
      </c>
    </row>
    <row r="274" spans="2:7" ht="12" customHeight="1" x14ac:dyDescent="0.35">
      <c r="B274" s="76" t="s">
        <v>275</v>
      </c>
      <c r="C274" s="207">
        <v>45905</v>
      </c>
      <c r="D274" s="76">
        <v>41511</v>
      </c>
      <c r="E274" s="79">
        <v>10000</v>
      </c>
      <c r="F274" s="80">
        <v>449.01</v>
      </c>
      <c r="G274" s="81">
        <f t="shared" si="26"/>
        <v>4490100</v>
      </c>
    </row>
    <row r="275" spans="2:7" ht="12" customHeight="1" x14ac:dyDescent="0.35">
      <c r="B275" s="76" t="s">
        <v>275</v>
      </c>
      <c r="C275" s="207">
        <v>45915</v>
      </c>
      <c r="D275" s="76">
        <v>41593</v>
      </c>
      <c r="E275" s="79">
        <v>13000</v>
      </c>
      <c r="F275" s="80">
        <v>449.01</v>
      </c>
      <c r="G275" s="81">
        <f t="shared" si="26"/>
        <v>5837130</v>
      </c>
    </row>
    <row r="276" spans="2:7" ht="12" customHeight="1" x14ac:dyDescent="0.35">
      <c r="B276" s="76" t="s">
        <v>275</v>
      </c>
      <c r="C276" s="207">
        <v>45930</v>
      </c>
      <c r="D276" s="76">
        <v>41731</v>
      </c>
      <c r="E276" s="79">
        <v>3000</v>
      </c>
      <c r="F276" s="80">
        <v>449.01</v>
      </c>
      <c r="G276" s="81">
        <f t="shared" si="26"/>
        <v>1347030</v>
      </c>
    </row>
    <row r="277" spans="2:7" ht="12" customHeight="1" x14ac:dyDescent="0.35">
      <c r="B277" s="76" t="s">
        <v>275</v>
      </c>
      <c r="C277" s="207">
        <v>45925</v>
      </c>
      <c r="D277" s="76">
        <v>41694</v>
      </c>
      <c r="E277" s="79">
        <v>6250</v>
      </c>
      <c r="F277" s="80">
        <v>449.01</v>
      </c>
      <c r="G277" s="81">
        <f t="shared" si="26"/>
        <v>2806312.5</v>
      </c>
    </row>
    <row r="278" spans="2:7" ht="12" customHeight="1" x14ac:dyDescent="0.35">
      <c r="B278" s="76" t="s">
        <v>275</v>
      </c>
      <c r="C278" s="207">
        <v>45918</v>
      </c>
      <c r="D278" s="76">
        <v>41636</v>
      </c>
      <c r="E278" s="79">
        <v>5000</v>
      </c>
      <c r="F278" s="80">
        <v>449.01</v>
      </c>
      <c r="G278" s="81">
        <f t="shared" si="26"/>
        <v>2245050</v>
      </c>
    </row>
    <row r="279" spans="2:7" ht="12" customHeight="1" x14ac:dyDescent="0.35">
      <c r="B279" s="76" t="s">
        <v>275</v>
      </c>
      <c r="C279" s="207">
        <v>45922</v>
      </c>
      <c r="D279" s="76">
        <v>41658</v>
      </c>
      <c r="E279" s="79">
        <v>7500</v>
      </c>
      <c r="F279" s="80">
        <v>449.01</v>
      </c>
      <c r="G279" s="81">
        <f t="shared" si="26"/>
        <v>3367575</v>
      </c>
    </row>
    <row r="280" spans="2:7" ht="12" customHeight="1" x14ac:dyDescent="0.35">
      <c r="B280" s="76" t="s">
        <v>275</v>
      </c>
      <c r="C280" s="207">
        <v>45919</v>
      </c>
      <c r="D280" s="76">
        <v>41644</v>
      </c>
      <c r="E280" s="79">
        <v>4500</v>
      </c>
      <c r="F280" s="80">
        <v>449.01</v>
      </c>
      <c r="G280" s="81">
        <f t="shared" si="26"/>
        <v>2020545</v>
      </c>
    </row>
    <row r="281" spans="2:7" x14ac:dyDescent="0.35">
      <c r="B281" s="76" t="s">
        <v>275</v>
      </c>
      <c r="C281" s="207">
        <v>45910</v>
      </c>
      <c r="D281" s="76">
        <v>41541</v>
      </c>
      <c r="E281" s="79">
        <v>6000</v>
      </c>
      <c r="F281" s="80">
        <v>449.01</v>
      </c>
      <c r="G281" s="81">
        <f t="shared" si="26"/>
        <v>2694060</v>
      </c>
    </row>
    <row r="282" spans="2:7" x14ac:dyDescent="0.35">
      <c r="B282" s="76" t="s">
        <v>275</v>
      </c>
      <c r="C282" s="207">
        <v>45933</v>
      </c>
      <c r="D282" s="76">
        <v>41770</v>
      </c>
      <c r="E282" s="79">
        <v>3000</v>
      </c>
      <c r="F282" s="80">
        <v>449.01</v>
      </c>
      <c r="G282" s="81">
        <f t="shared" si="26"/>
        <v>1347030</v>
      </c>
    </row>
    <row r="283" spans="2:7" x14ac:dyDescent="0.35">
      <c r="B283" s="76" t="s">
        <v>275</v>
      </c>
      <c r="C283" s="207">
        <v>45929</v>
      </c>
      <c r="D283" s="76">
        <v>41715</v>
      </c>
      <c r="E283" s="79">
        <v>3750</v>
      </c>
      <c r="F283" s="80">
        <v>449.01</v>
      </c>
      <c r="G283" s="81">
        <f t="shared" si="26"/>
        <v>1683787.5</v>
      </c>
    </row>
    <row r="284" spans="2:7" x14ac:dyDescent="0.35">
      <c r="B284" s="264" t="s">
        <v>68</v>
      </c>
      <c r="C284" s="264"/>
      <c r="D284" s="264"/>
      <c r="E284" s="85">
        <f>SUM(E260:E283)</f>
        <v>205977.85</v>
      </c>
      <c r="F284" s="179">
        <f>G284/E284</f>
        <v>445.62810968983979</v>
      </c>
      <c r="G284" s="85">
        <f>SUM(G260:G283)</f>
        <v>91789519.933477372</v>
      </c>
    </row>
    <row r="286" spans="2:7" x14ac:dyDescent="0.35">
      <c r="B286" s="261" t="s">
        <v>69</v>
      </c>
      <c r="C286" s="261"/>
      <c r="D286" s="261"/>
      <c r="E286" s="261"/>
      <c r="F286" s="262" t="s">
        <v>215</v>
      </c>
      <c r="G286" s="263"/>
    </row>
    <row r="287" spans="2:7" x14ac:dyDescent="0.35">
      <c r="B287" s="62" t="s">
        <v>63</v>
      </c>
      <c r="C287" s="62" t="s">
        <v>104</v>
      </c>
      <c r="D287" s="62" t="s">
        <v>65</v>
      </c>
      <c r="E287" s="62" t="s">
        <v>66</v>
      </c>
      <c r="F287" s="74" t="s">
        <v>64</v>
      </c>
      <c r="G287" s="75" t="s">
        <v>67</v>
      </c>
    </row>
    <row r="288" spans="2:7" x14ac:dyDescent="0.35">
      <c r="B288" s="76" t="s">
        <v>278</v>
      </c>
      <c r="C288" s="78">
        <v>45965</v>
      </c>
      <c r="D288" s="76">
        <v>80877</v>
      </c>
      <c r="E288" s="79">
        <v>4000</v>
      </c>
      <c r="F288" s="80">
        <v>437.4</v>
      </c>
      <c r="G288" s="81">
        <f>E288*F288</f>
        <v>1749600</v>
      </c>
    </row>
    <row r="289" spans="2:7" x14ac:dyDescent="0.35">
      <c r="B289" s="76" t="s">
        <v>275</v>
      </c>
      <c r="C289" s="78">
        <v>45961</v>
      </c>
      <c r="D289" s="76">
        <v>42050</v>
      </c>
      <c r="E289" s="79">
        <v>4000</v>
      </c>
      <c r="F289" s="80">
        <v>449.01</v>
      </c>
      <c r="G289" s="81">
        <f t="shared" ref="G289:G311" si="27">E289*F289</f>
        <v>1796040</v>
      </c>
    </row>
    <row r="290" spans="2:7" x14ac:dyDescent="0.35">
      <c r="B290" s="76" t="s">
        <v>275</v>
      </c>
      <c r="C290" s="78">
        <v>45957</v>
      </c>
      <c r="D290" s="76">
        <v>42000</v>
      </c>
      <c r="E290" s="79">
        <v>1750</v>
      </c>
      <c r="F290" s="80">
        <v>449.01</v>
      </c>
      <c r="G290" s="81">
        <f t="shared" si="27"/>
        <v>785767.5</v>
      </c>
    </row>
    <row r="291" spans="2:7" x14ac:dyDescent="0.35">
      <c r="B291" s="76" t="s">
        <v>275</v>
      </c>
      <c r="C291" s="78">
        <v>45957</v>
      </c>
      <c r="D291" s="76">
        <v>41999</v>
      </c>
      <c r="E291" s="79">
        <v>9250</v>
      </c>
      <c r="F291" s="80">
        <v>449.01</v>
      </c>
      <c r="G291" s="81">
        <f t="shared" si="27"/>
        <v>4153342.5</v>
      </c>
    </row>
    <row r="292" spans="2:7" x14ac:dyDescent="0.35">
      <c r="B292" s="76" t="s">
        <v>277</v>
      </c>
      <c r="C292" s="78">
        <v>45964</v>
      </c>
      <c r="D292" s="76">
        <v>975</v>
      </c>
      <c r="E292" s="79">
        <v>1000</v>
      </c>
      <c r="F292" s="80">
        <v>436.25</v>
      </c>
      <c r="G292" s="81">
        <f t="shared" si="27"/>
        <v>436250</v>
      </c>
    </row>
    <row r="293" spans="2:7" x14ac:dyDescent="0.35">
      <c r="B293" s="76" t="s">
        <v>278</v>
      </c>
      <c r="C293" s="78">
        <v>45961</v>
      </c>
      <c r="D293" s="76">
        <v>80864</v>
      </c>
      <c r="E293" s="79">
        <v>42000</v>
      </c>
      <c r="F293" s="80">
        <v>437.4</v>
      </c>
      <c r="G293" s="81">
        <f t="shared" si="27"/>
        <v>18370800</v>
      </c>
    </row>
    <row r="294" spans="2:7" x14ac:dyDescent="0.35">
      <c r="B294" s="76" t="s">
        <v>275</v>
      </c>
      <c r="C294" s="78">
        <v>45950</v>
      </c>
      <c r="D294" s="76">
        <v>41930</v>
      </c>
      <c r="E294" s="79">
        <v>15000</v>
      </c>
      <c r="F294" s="80">
        <v>449.01</v>
      </c>
      <c r="G294" s="81">
        <f t="shared" si="27"/>
        <v>6735150</v>
      </c>
    </row>
    <row r="295" spans="2:7" x14ac:dyDescent="0.35">
      <c r="B295" s="76" t="s">
        <v>275</v>
      </c>
      <c r="C295" s="78">
        <v>45946</v>
      </c>
      <c r="D295" s="76">
        <v>41896</v>
      </c>
      <c r="E295" s="79">
        <v>5000</v>
      </c>
      <c r="F295" s="80">
        <v>449.01</v>
      </c>
      <c r="G295" s="81">
        <f t="shared" si="27"/>
        <v>2245050</v>
      </c>
    </row>
    <row r="296" spans="2:7" x14ac:dyDescent="0.35">
      <c r="B296" s="76" t="s">
        <v>277</v>
      </c>
      <c r="C296" s="78">
        <v>45961</v>
      </c>
      <c r="D296" s="76">
        <v>974</v>
      </c>
      <c r="E296" s="79">
        <v>5000</v>
      </c>
      <c r="F296" s="80">
        <v>436.25</v>
      </c>
      <c r="G296" s="81">
        <f t="shared" si="27"/>
        <v>2181250</v>
      </c>
    </row>
    <row r="297" spans="2:7" x14ac:dyDescent="0.35">
      <c r="B297" s="76" t="s">
        <v>275</v>
      </c>
      <c r="C297" s="78">
        <v>45961</v>
      </c>
      <c r="D297" s="76">
        <v>42043</v>
      </c>
      <c r="E297" s="79">
        <v>7000</v>
      </c>
      <c r="F297" s="80">
        <v>449.01</v>
      </c>
      <c r="G297" s="81">
        <f t="shared" si="27"/>
        <v>3143070</v>
      </c>
    </row>
    <row r="298" spans="2:7" x14ac:dyDescent="0.35">
      <c r="B298" s="76" t="s">
        <v>275</v>
      </c>
      <c r="C298" s="78">
        <v>45945</v>
      </c>
      <c r="D298" s="76">
        <v>41876</v>
      </c>
      <c r="E298" s="79">
        <v>15000</v>
      </c>
      <c r="F298" s="80">
        <v>449.01</v>
      </c>
      <c r="G298" s="81">
        <f t="shared" si="27"/>
        <v>6735150</v>
      </c>
    </row>
    <row r="299" spans="2:7" x14ac:dyDescent="0.35">
      <c r="B299" s="76" t="s">
        <v>275</v>
      </c>
      <c r="C299" s="78">
        <v>45961</v>
      </c>
      <c r="D299" s="76">
        <v>42049</v>
      </c>
      <c r="E299" s="79">
        <v>2000</v>
      </c>
      <c r="F299" s="80">
        <v>449.01</v>
      </c>
      <c r="G299" s="81">
        <f t="shared" ref="G299:G307" si="28">E299*F299</f>
        <v>898020</v>
      </c>
    </row>
    <row r="300" spans="2:7" x14ac:dyDescent="0.35">
      <c r="B300" s="76" t="s">
        <v>275</v>
      </c>
      <c r="C300" s="78">
        <v>45936</v>
      </c>
      <c r="D300" s="76">
        <v>41780</v>
      </c>
      <c r="E300" s="79">
        <v>8000</v>
      </c>
      <c r="F300" s="80">
        <v>449.01</v>
      </c>
      <c r="G300" s="81">
        <f t="shared" si="28"/>
        <v>3592080</v>
      </c>
    </row>
    <row r="301" spans="2:7" x14ac:dyDescent="0.35">
      <c r="B301" s="76" t="s">
        <v>372</v>
      </c>
      <c r="C301" s="78">
        <v>45961</v>
      </c>
      <c r="D301" s="76">
        <v>30152</v>
      </c>
      <c r="E301" s="79">
        <v>1074.5</v>
      </c>
      <c r="F301" s="80">
        <v>435.04</v>
      </c>
      <c r="G301" s="81">
        <f t="shared" si="28"/>
        <v>467450.48000000004</v>
      </c>
    </row>
    <row r="302" spans="2:7" x14ac:dyDescent="0.35">
      <c r="B302" s="76" t="s">
        <v>372</v>
      </c>
      <c r="C302" s="78">
        <v>45966</v>
      </c>
      <c r="D302" s="76">
        <v>30204</v>
      </c>
      <c r="E302" s="79">
        <v>3220.17</v>
      </c>
      <c r="F302" s="80">
        <v>435.04</v>
      </c>
      <c r="G302" s="81">
        <f t="shared" si="28"/>
        <v>1400902.7568000001</v>
      </c>
    </row>
    <row r="303" spans="2:7" x14ac:dyDescent="0.35">
      <c r="B303" s="76" t="s">
        <v>276</v>
      </c>
      <c r="C303" s="78">
        <v>45961</v>
      </c>
      <c r="D303" s="76">
        <v>10414</v>
      </c>
      <c r="E303" s="79">
        <v>26</v>
      </c>
      <c r="F303" s="80">
        <v>448.14</v>
      </c>
      <c r="G303" s="81">
        <f t="shared" si="28"/>
        <v>11651.64</v>
      </c>
    </row>
    <row r="304" spans="2:7" x14ac:dyDescent="0.35">
      <c r="B304" s="76" t="s">
        <v>276</v>
      </c>
      <c r="C304" s="78">
        <v>45961</v>
      </c>
      <c r="D304" s="76">
        <v>90499</v>
      </c>
      <c r="E304" s="79">
        <v>2052.73</v>
      </c>
      <c r="F304" s="80">
        <v>448.13999799999999</v>
      </c>
      <c r="G304" s="81">
        <f t="shared" si="28"/>
        <v>919910.41809454001</v>
      </c>
    </row>
    <row r="305" spans="2:7" x14ac:dyDescent="0.35">
      <c r="B305" s="76" t="s">
        <v>276</v>
      </c>
      <c r="C305" s="78">
        <v>45961</v>
      </c>
      <c r="D305" s="76">
        <v>90498</v>
      </c>
      <c r="E305" s="79">
        <v>2921.27</v>
      </c>
      <c r="F305" s="80">
        <v>448.14</v>
      </c>
      <c r="G305" s="81">
        <f t="shared" si="28"/>
        <v>1309137.9378</v>
      </c>
    </row>
    <row r="306" spans="2:7" x14ac:dyDescent="0.35">
      <c r="B306" s="76" t="s">
        <v>276</v>
      </c>
      <c r="C306" s="78">
        <v>45961</v>
      </c>
      <c r="D306" s="76">
        <v>90497</v>
      </c>
      <c r="E306" s="79">
        <v>62000</v>
      </c>
      <c r="F306" s="80">
        <v>448.14</v>
      </c>
      <c r="G306" s="81">
        <f t="shared" si="28"/>
        <v>27784680</v>
      </c>
    </row>
    <row r="307" spans="2:7" x14ac:dyDescent="0.35">
      <c r="B307" s="76" t="s">
        <v>279</v>
      </c>
      <c r="C307" s="78">
        <v>45961</v>
      </c>
      <c r="D307" s="76">
        <v>28820</v>
      </c>
      <c r="E307" s="79">
        <v>4454.25</v>
      </c>
      <c r="F307" s="80">
        <v>449.01</v>
      </c>
      <c r="G307" s="81">
        <f t="shared" si="28"/>
        <v>2000002.7925</v>
      </c>
    </row>
    <row r="308" spans="2:7" x14ac:dyDescent="0.35">
      <c r="B308" s="76" t="s">
        <v>279</v>
      </c>
      <c r="C308" s="78">
        <v>45961</v>
      </c>
      <c r="D308" s="76">
        <v>28816</v>
      </c>
      <c r="E308" s="79">
        <v>3117.98</v>
      </c>
      <c r="F308" s="80">
        <v>449.01</v>
      </c>
      <c r="G308" s="81">
        <f t="shared" si="27"/>
        <v>1400004.1998000001</v>
      </c>
    </row>
    <row r="309" spans="2:7" x14ac:dyDescent="0.35">
      <c r="B309" s="76" t="s">
        <v>279</v>
      </c>
      <c r="C309" s="78">
        <v>45966</v>
      </c>
      <c r="D309" s="76">
        <v>28828</v>
      </c>
      <c r="E309" s="79">
        <v>12426.32</v>
      </c>
      <c r="F309" s="80">
        <v>449.01</v>
      </c>
      <c r="G309" s="81">
        <f t="shared" si="27"/>
        <v>5579541.9431999996</v>
      </c>
    </row>
    <row r="310" spans="2:7" x14ac:dyDescent="0.35">
      <c r="B310" s="76" t="s">
        <v>279</v>
      </c>
      <c r="C310" s="78">
        <v>45947</v>
      </c>
      <c r="D310" s="76">
        <v>28760</v>
      </c>
      <c r="E310" s="79">
        <v>7639.03</v>
      </c>
      <c r="F310" s="80">
        <v>449.01</v>
      </c>
      <c r="G310" s="81">
        <f t="shared" si="27"/>
        <v>3430000.8602999998</v>
      </c>
    </row>
    <row r="311" spans="2:7" x14ac:dyDescent="0.35">
      <c r="B311" s="76" t="s">
        <v>280</v>
      </c>
      <c r="C311" s="78">
        <v>45961</v>
      </c>
      <c r="D311" s="76">
        <v>2272</v>
      </c>
      <c r="E311" s="79">
        <v>721.64</v>
      </c>
      <c r="F311" s="80">
        <v>436.25</v>
      </c>
      <c r="G311" s="81">
        <f t="shared" si="27"/>
        <v>314815.45</v>
      </c>
    </row>
    <row r="312" spans="2:7" x14ac:dyDescent="0.35">
      <c r="B312" s="76" t="s">
        <v>280</v>
      </c>
      <c r="C312" s="78">
        <v>45966</v>
      </c>
      <c r="D312" s="76">
        <v>2285</v>
      </c>
      <c r="E312" s="79">
        <v>2728.36</v>
      </c>
      <c r="F312" s="80">
        <v>436.25</v>
      </c>
      <c r="G312" s="81">
        <f>E312*F312</f>
        <v>1190247.05</v>
      </c>
    </row>
    <row r="313" spans="2:7" x14ac:dyDescent="0.35">
      <c r="B313" s="76" t="s">
        <v>279</v>
      </c>
      <c r="C313" s="78">
        <v>45961</v>
      </c>
      <c r="D313" s="76">
        <v>28819</v>
      </c>
      <c r="E313" s="79">
        <v>8797.14</v>
      </c>
      <c r="F313" s="80">
        <v>449.01</v>
      </c>
      <c r="G313" s="81">
        <f t="shared" ref="G313" si="29">E313*F313</f>
        <v>3950003.8313999996</v>
      </c>
    </row>
    <row r="314" spans="2:7" x14ac:dyDescent="0.35">
      <c r="B314" s="264" t="s">
        <v>68</v>
      </c>
      <c r="C314" s="264"/>
      <c r="D314" s="264"/>
      <c r="E314" s="83">
        <f>SUM(E288:E313)</f>
        <v>230179.39</v>
      </c>
      <c r="F314" s="84">
        <f>IFERROR(G314/E314,0)</f>
        <v>445.65206016009745</v>
      </c>
      <c r="G314" s="85">
        <f>SUM(G288:G313)</f>
        <v>102579919.35989454</v>
      </c>
    </row>
    <row r="316" spans="2:7" x14ac:dyDescent="0.35">
      <c r="B316" s="261" t="s">
        <v>69</v>
      </c>
      <c r="C316" s="261"/>
      <c r="D316" s="261"/>
      <c r="E316" s="261"/>
      <c r="F316" s="262" t="s">
        <v>216</v>
      </c>
      <c r="G316" s="263"/>
    </row>
    <row r="317" spans="2:7" x14ac:dyDescent="0.35">
      <c r="B317" s="62" t="s">
        <v>63</v>
      </c>
      <c r="C317" s="62" t="s">
        <v>104</v>
      </c>
      <c r="D317" s="62" t="s">
        <v>65</v>
      </c>
      <c r="E317" s="62" t="s">
        <v>66</v>
      </c>
      <c r="F317" s="74" t="s">
        <v>64</v>
      </c>
      <c r="G317" s="75" t="s">
        <v>67</v>
      </c>
    </row>
    <row r="318" spans="2:7" x14ac:dyDescent="0.35">
      <c r="B318" s="76" t="s">
        <v>276</v>
      </c>
      <c r="C318" s="78">
        <v>45989</v>
      </c>
      <c r="D318" s="76">
        <v>92541</v>
      </c>
      <c r="E318" s="79">
        <v>1168.5899999999999</v>
      </c>
      <c r="F318" s="80">
        <v>448.14</v>
      </c>
      <c r="G318" s="81">
        <f>E318*F318</f>
        <v>523691.92259999993</v>
      </c>
    </row>
    <row r="319" spans="2:7" x14ac:dyDescent="0.35">
      <c r="B319" s="76" t="s">
        <v>276</v>
      </c>
      <c r="C319" s="78">
        <v>45994</v>
      </c>
      <c r="D319" s="76">
        <v>92806</v>
      </c>
      <c r="E319" s="79">
        <v>5000</v>
      </c>
      <c r="F319" s="80">
        <v>448.14</v>
      </c>
      <c r="G319" s="81">
        <f t="shared" ref="G319:G342" si="30">E319*F319</f>
        <v>2240700</v>
      </c>
    </row>
    <row r="320" spans="2:7" x14ac:dyDescent="0.35">
      <c r="B320" s="76" t="s">
        <v>276</v>
      </c>
      <c r="C320" s="78">
        <v>45989</v>
      </c>
      <c r="D320" s="76">
        <v>92539</v>
      </c>
      <c r="E320" s="79">
        <v>3831.41</v>
      </c>
      <c r="F320" s="80">
        <v>448.14</v>
      </c>
      <c r="G320" s="81">
        <f t="shared" si="30"/>
        <v>1717008.0773999998</v>
      </c>
    </row>
    <row r="321" spans="2:7" x14ac:dyDescent="0.35">
      <c r="B321" s="76" t="s">
        <v>276</v>
      </c>
      <c r="C321" s="78">
        <v>45989</v>
      </c>
      <c r="D321" s="76">
        <v>92538</v>
      </c>
      <c r="E321" s="79">
        <v>51000</v>
      </c>
      <c r="F321" s="80">
        <v>448.14</v>
      </c>
      <c r="G321" s="81">
        <f t="shared" si="30"/>
        <v>22855140</v>
      </c>
    </row>
    <row r="322" spans="2:7" x14ac:dyDescent="0.35">
      <c r="B322" s="76" t="s">
        <v>275</v>
      </c>
      <c r="C322" s="78">
        <v>45978</v>
      </c>
      <c r="D322" s="76">
        <v>42194</v>
      </c>
      <c r="E322" s="79">
        <v>15000</v>
      </c>
      <c r="F322" s="80">
        <v>449.01</v>
      </c>
      <c r="G322" s="81">
        <f t="shared" si="30"/>
        <v>6735150</v>
      </c>
    </row>
    <row r="323" spans="2:7" x14ac:dyDescent="0.35">
      <c r="B323" s="76" t="s">
        <v>277</v>
      </c>
      <c r="C323" s="78">
        <v>45989</v>
      </c>
      <c r="D323" s="76">
        <v>977</v>
      </c>
      <c r="E323" s="79">
        <v>5000</v>
      </c>
      <c r="F323" s="80">
        <v>436.25</v>
      </c>
      <c r="G323" s="81">
        <f t="shared" si="30"/>
        <v>2181250</v>
      </c>
    </row>
    <row r="324" spans="2:7" x14ac:dyDescent="0.35">
      <c r="B324" s="76" t="s">
        <v>275</v>
      </c>
      <c r="C324" s="78">
        <v>45967</v>
      </c>
      <c r="D324" s="76">
        <v>42098</v>
      </c>
      <c r="E324" s="79">
        <v>6000</v>
      </c>
      <c r="F324" s="80">
        <v>449.01</v>
      </c>
      <c r="G324" s="81">
        <f t="shared" si="30"/>
        <v>2694060</v>
      </c>
    </row>
    <row r="325" spans="2:7" x14ac:dyDescent="0.35">
      <c r="B325" s="76" t="s">
        <v>275</v>
      </c>
      <c r="C325" s="78">
        <v>45980</v>
      </c>
      <c r="D325" s="76">
        <v>42222</v>
      </c>
      <c r="E325" s="79">
        <v>5000</v>
      </c>
      <c r="F325" s="80">
        <v>449.01</v>
      </c>
      <c r="G325" s="81">
        <f t="shared" si="30"/>
        <v>2245050</v>
      </c>
    </row>
    <row r="326" spans="2:7" x14ac:dyDescent="0.35">
      <c r="B326" s="76" t="s">
        <v>275</v>
      </c>
      <c r="C326" s="78">
        <v>45989</v>
      </c>
      <c r="D326" s="76">
        <v>42305</v>
      </c>
      <c r="E326" s="79">
        <v>8500</v>
      </c>
      <c r="F326" s="80">
        <v>449.01</v>
      </c>
      <c r="G326" s="81">
        <f t="shared" si="30"/>
        <v>3816585</v>
      </c>
    </row>
    <row r="327" spans="2:7" x14ac:dyDescent="0.35">
      <c r="B327" s="76" t="s">
        <v>275</v>
      </c>
      <c r="C327" s="78">
        <v>45981</v>
      </c>
      <c r="D327" s="76">
        <v>42234</v>
      </c>
      <c r="E327" s="79">
        <v>5000</v>
      </c>
      <c r="F327" s="80">
        <v>449.01</v>
      </c>
      <c r="G327" s="81">
        <f t="shared" si="30"/>
        <v>2245050</v>
      </c>
    </row>
    <row r="328" spans="2:7" x14ac:dyDescent="0.35">
      <c r="B328" s="76" t="s">
        <v>275</v>
      </c>
      <c r="C328" s="78">
        <v>45989</v>
      </c>
      <c r="D328" s="76">
        <v>42318</v>
      </c>
      <c r="E328" s="79">
        <v>4750</v>
      </c>
      <c r="F328" s="80">
        <v>449.01</v>
      </c>
      <c r="G328" s="81">
        <f t="shared" si="30"/>
        <v>2132797.5</v>
      </c>
    </row>
    <row r="329" spans="2:7" x14ac:dyDescent="0.35">
      <c r="B329" s="76" t="s">
        <v>275</v>
      </c>
      <c r="C329" s="78">
        <v>45989</v>
      </c>
      <c r="D329" s="76">
        <v>42320</v>
      </c>
      <c r="E329" s="79">
        <v>5000</v>
      </c>
      <c r="F329" s="80">
        <v>449.01</v>
      </c>
      <c r="G329" s="81">
        <f t="shared" si="30"/>
        <v>2245050</v>
      </c>
    </row>
    <row r="330" spans="2:7" x14ac:dyDescent="0.35">
      <c r="B330" s="76" t="s">
        <v>275</v>
      </c>
      <c r="C330" s="78">
        <v>45989</v>
      </c>
      <c r="D330" s="76">
        <v>42319</v>
      </c>
      <c r="E330" s="79">
        <v>1750</v>
      </c>
      <c r="F330" s="80">
        <v>449.01</v>
      </c>
      <c r="G330" s="81">
        <f t="shared" si="30"/>
        <v>785767.5</v>
      </c>
    </row>
    <row r="331" spans="2:7" x14ac:dyDescent="0.35">
      <c r="B331" s="76" t="s">
        <v>275</v>
      </c>
      <c r="C331" s="78">
        <v>45986</v>
      </c>
      <c r="D331" s="76">
        <v>42266</v>
      </c>
      <c r="E331" s="79">
        <v>8000</v>
      </c>
      <c r="F331" s="80">
        <v>449.01</v>
      </c>
      <c r="G331" s="81">
        <f t="shared" si="30"/>
        <v>3592080</v>
      </c>
    </row>
    <row r="332" spans="2:7" x14ac:dyDescent="0.35">
      <c r="B332" s="76" t="s">
        <v>278</v>
      </c>
      <c r="C332" s="78">
        <v>45989</v>
      </c>
      <c r="D332" s="76">
        <v>80980</v>
      </c>
      <c r="E332" s="79">
        <v>40000</v>
      </c>
      <c r="F332" s="80">
        <v>437.4</v>
      </c>
      <c r="G332" s="81">
        <f t="shared" si="30"/>
        <v>17496000</v>
      </c>
    </row>
    <row r="333" spans="2:7" x14ac:dyDescent="0.35">
      <c r="B333" s="76" t="s">
        <v>278</v>
      </c>
      <c r="C333" s="78">
        <v>45964</v>
      </c>
      <c r="D333" s="76">
        <v>81004</v>
      </c>
      <c r="E333" s="79">
        <v>6000</v>
      </c>
      <c r="F333" s="80">
        <v>437.4</v>
      </c>
      <c r="G333" s="81">
        <f t="shared" si="30"/>
        <v>2624400</v>
      </c>
    </row>
    <row r="334" spans="2:7" x14ac:dyDescent="0.35">
      <c r="B334" s="76" t="s">
        <v>372</v>
      </c>
      <c r="C334" s="78">
        <v>45989</v>
      </c>
      <c r="D334" s="76">
        <v>30205</v>
      </c>
      <c r="E334" s="79">
        <v>3462.28</v>
      </c>
      <c r="F334" s="80">
        <v>435.04</v>
      </c>
      <c r="G334" s="81">
        <f t="shared" si="30"/>
        <v>1506230.2912000001</v>
      </c>
    </row>
    <row r="335" spans="2:7" x14ac:dyDescent="0.35">
      <c r="B335" s="76" t="s">
        <v>279</v>
      </c>
      <c r="C335" s="78">
        <v>45966</v>
      </c>
      <c r="D335" s="76">
        <v>28829</v>
      </c>
      <c r="E335" s="79">
        <v>7000</v>
      </c>
      <c r="F335" s="80">
        <v>449.01</v>
      </c>
      <c r="G335" s="81">
        <f t="shared" ref="G335:G340" si="31">E335*F335</f>
        <v>3143070</v>
      </c>
    </row>
    <row r="336" spans="2:7" x14ac:dyDescent="0.35">
      <c r="B336" s="76" t="s">
        <v>279</v>
      </c>
      <c r="C336" s="78">
        <v>45975</v>
      </c>
      <c r="D336" s="76">
        <v>28850</v>
      </c>
      <c r="E336" s="79">
        <v>7000</v>
      </c>
      <c r="F336" s="80">
        <v>449.01</v>
      </c>
      <c r="G336" s="81">
        <f t="shared" si="31"/>
        <v>3143070</v>
      </c>
    </row>
    <row r="337" spans="2:7" x14ac:dyDescent="0.35">
      <c r="B337" s="76" t="s">
        <v>279</v>
      </c>
      <c r="C337" s="78">
        <v>45965</v>
      </c>
      <c r="D337" s="76">
        <v>28901</v>
      </c>
      <c r="E337" s="79">
        <v>12898.43</v>
      </c>
      <c r="F337" s="80">
        <v>449.01</v>
      </c>
      <c r="G337" s="81">
        <f t="shared" si="31"/>
        <v>5791524.0543</v>
      </c>
    </row>
    <row r="338" spans="2:7" x14ac:dyDescent="0.35">
      <c r="B338" s="76" t="s">
        <v>279</v>
      </c>
      <c r="C338" s="78">
        <v>45972</v>
      </c>
      <c r="D338" s="76">
        <v>28841</v>
      </c>
      <c r="E338" s="79">
        <v>7000</v>
      </c>
      <c r="F338" s="80">
        <v>449.01</v>
      </c>
      <c r="G338" s="81">
        <f t="shared" si="31"/>
        <v>3143070</v>
      </c>
    </row>
    <row r="339" spans="2:7" x14ac:dyDescent="0.35">
      <c r="B339" s="76" t="s">
        <v>372</v>
      </c>
      <c r="C339" s="78">
        <v>45994</v>
      </c>
      <c r="D339" s="76">
        <v>30228</v>
      </c>
      <c r="E339" s="79">
        <v>2318.33</v>
      </c>
      <c r="F339" s="80">
        <v>435.04</v>
      </c>
      <c r="G339" s="81">
        <f t="shared" si="31"/>
        <v>1008566.2832000001</v>
      </c>
    </row>
    <row r="340" spans="2:7" x14ac:dyDescent="0.35">
      <c r="B340" s="76" t="s">
        <v>280</v>
      </c>
      <c r="C340" s="78">
        <v>45996</v>
      </c>
      <c r="D340" s="76">
        <v>2378</v>
      </c>
      <c r="E340" s="79">
        <v>2361.7800000000002</v>
      </c>
      <c r="F340" s="80">
        <v>436.25</v>
      </c>
      <c r="G340" s="81">
        <f t="shared" si="31"/>
        <v>1030326.5250000001</v>
      </c>
    </row>
    <row r="341" spans="2:7" x14ac:dyDescent="0.35">
      <c r="B341" s="76" t="s">
        <v>280</v>
      </c>
      <c r="C341" s="78">
        <v>45989</v>
      </c>
      <c r="D341" s="76">
        <v>2360</v>
      </c>
      <c r="E341" s="79">
        <v>768.37</v>
      </c>
      <c r="F341" s="80">
        <v>436.25</v>
      </c>
      <c r="G341" s="81">
        <f t="shared" si="30"/>
        <v>335201.41249999998</v>
      </c>
    </row>
    <row r="342" spans="2:7" x14ac:dyDescent="0.35">
      <c r="B342" s="76" t="s">
        <v>280</v>
      </c>
      <c r="C342" s="78">
        <v>45996</v>
      </c>
      <c r="D342" s="76">
        <v>2390</v>
      </c>
      <c r="E342" s="79">
        <v>24.82</v>
      </c>
      <c r="F342" s="80">
        <v>436.25</v>
      </c>
      <c r="G342" s="81">
        <f t="shared" si="30"/>
        <v>10827.725</v>
      </c>
    </row>
    <row r="343" spans="2:7" x14ac:dyDescent="0.35">
      <c r="B343" s="264" t="s">
        <v>68</v>
      </c>
      <c r="C343" s="264"/>
      <c r="D343" s="264"/>
      <c r="E343" s="83">
        <f>SUM(E318:E342)</f>
        <v>213834.00999999998</v>
      </c>
      <c r="F343" s="84">
        <f>IFERROR(G343/E343,0)</f>
        <v>445.39999175622245</v>
      </c>
      <c r="G343" s="85">
        <f>SUM(G318:G342)</f>
        <v>95241666.291199982</v>
      </c>
    </row>
    <row r="345" spans="2:7" x14ac:dyDescent="0.35">
      <c r="B345" s="261" t="s">
        <v>69</v>
      </c>
      <c r="C345" s="261"/>
      <c r="D345" s="261"/>
      <c r="E345" s="261"/>
      <c r="F345" s="262" t="s">
        <v>217</v>
      </c>
      <c r="G345" s="263"/>
    </row>
    <row r="346" spans="2:7" x14ac:dyDescent="0.35">
      <c r="B346" s="62" t="s">
        <v>63</v>
      </c>
      <c r="C346" s="62" t="s">
        <v>104</v>
      </c>
      <c r="D346" s="62" t="s">
        <v>65</v>
      </c>
      <c r="E346" s="62" t="s">
        <v>66</v>
      </c>
      <c r="F346" s="74" t="s">
        <v>64</v>
      </c>
      <c r="G346" s="75" t="s">
        <v>67</v>
      </c>
    </row>
    <row r="347" spans="2:7" x14ac:dyDescent="0.35">
      <c r="B347" s="76" t="s">
        <v>276</v>
      </c>
      <c r="C347" s="78" t="s">
        <v>378</v>
      </c>
      <c r="D347" s="76">
        <v>94294</v>
      </c>
      <c r="E347" s="79">
        <v>35500</v>
      </c>
      <c r="F347" s="80">
        <v>448.14</v>
      </c>
      <c r="G347" s="81">
        <f>E347*F347</f>
        <v>15908970</v>
      </c>
    </row>
    <row r="348" spans="2:7" x14ac:dyDescent="0.35">
      <c r="B348" s="76" t="s">
        <v>276</v>
      </c>
      <c r="C348" s="78" t="s">
        <v>378</v>
      </c>
      <c r="D348" s="76">
        <v>94297</v>
      </c>
      <c r="E348" s="79">
        <v>4000</v>
      </c>
      <c r="F348" s="80">
        <v>448.14</v>
      </c>
      <c r="G348" s="81">
        <f t="shared" ref="G348:G359" si="32">E348*F348</f>
        <v>1792560</v>
      </c>
    </row>
    <row r="349" spans="2:7" x14ac:dyDescent="0.35">
      <c r="B349" s="76" t="s">
        <v>276</v>
      </c>
      <c r="C349" s="78" t="s">
        <v>378</v>
      </c>
      <c r="D349" s="76">
        <v>94296</v>
      </c>
      <c r="E349" s="79">
        <v>2000</v>
      </c>
      <c r="F349" s="80">
        <v>448.14</v>
      </c>
      <c r="G349" s="81">
        <f t="shared" si="32"/>
        <v>896280</v>
      </c>
    </row>
    <row r="350" spans="2:7" x14ac:dyDescent="0.35">
      <c r="B350" s="76" t="s">
        <v>276</v>
      </c>
      <c r="C350" s="78" t="s">
        <v>378</v>
      </c>
      <c r="D350" s="76">
        <v>94295</v>
      </c>
      <c r="E350" s="79">
        <v>5000</v>
      </c>
      <c r="F350" s="80">
        <v>448.14</v>
      </c>
      <c r="G350" s="81">
        <f t="shared" si="32"/>
        <v>2240700</v>
      </c>
    </row>
    <row r="351" spans="2:7" x14ac:dyDescent="0.35">
      <c r="B351" s="76" t="s">
        <v>372</v>
      </c>
      <c r="C351" s="78" t="s">
        <v>379</v>
      </c>
      <c r="D351" s="76">
        <v>30258</v>
      </c>
      <c r="E351" s="79">
        <v>1103.3499999999999</v>
      </c>
      <c r="F351" s="80">
        <v>435.03999599999997</v>
      </c>
      <c r="G351" s="81">
        <f t="shared" si="32"/>
        <v>480001.37958659994</v>
      </c>
    </row>
    <row r="352" spans="2:7" x14ac:dyDescent="0.35">
      <c r="B352" s="76" t="s">
        <v>277</v>
      </c>
      <c r="C352" s="78" t="s">
        <v>378</v>
      </c>
      <c r="D352" s="76">
        <v>983</v>
      </c>
      <c r="E352" s="79">
        <v>5000</v>
      </c>
      <c r="F352" s="80">
        <v>436.25</v>
      </c>
      <c r="G352" s="81">
        <f t="shared" si="32"/>
        <v>2181250</v>
      </c>
    </row>
    <row r="353" spans="2:7" x14ac:dyDescent="0.35">
      <c r="B353" s="76" t="s">
        <v>277</v>
      </c>
      <c r="C353" s="78" t="s">
        <v>378</v>
      </c>
      <c r="D353" s="76">
        <v>984</v>
      </c>
      <c r="E353" s="79">
        <v>2000</v>
      </c>
      <c r="F353" s="80">
        <v>436.25</v>
      </c>
      <c r="G353" s="81">
        <f t="shared" si="32"/>
        <v>872500</v>
      </c>
    </row>
    <row r="354" spans="2:7" x14ac:dyDescent="0.35">
      <c r="B354" s="76" t="s">
        <v>280</v>
      </c>
      <c r="C354" s="78" t="s">
        <v>378</v>
      </c>
      <c r="D354" s="76">
        <v>2454</v>
      </c>
      <c r="E354" s="79">
        <v>5454.29</v>
      </c>
      <c r="F354" s="80">
        <v>436.249999</v>
      </c>
      <c r="G354" s="81">
        <f t="shared" si="32"/>
        <v>2379434.00704571</v>
      </c>
    </row>
    <row r="355" spans="2:7" x14ac:dyDescent="0.35">
      <c r="B355" s="76" t="s">
        <v>275</v>
      </c>
      <c r="C355" s="78" t="s">
        <v>380</v>
      </c>
      <c r="D355" s="76">
        <v>161</v>
      </c>
      <c r="E355" s="79">
        <v>7000</v>
      </c>
      <c r="F355" s="80">
        <v>449.01</v>
      </c>
      <c r="G355" s="81">
        <f t="shared" si="32"/>
        <v>3143070</v>
      </c>
    </row>
    <row r="356" spans="2:7" x14ac:dyDescent="0.35">
      <c r="B356" s="76" t="s">
        <v>275</v>
      </c>
      <c r="C356" s="78" t="s">
        <v>381</v>
      </c>
      <c r="D356" s="76">
        <v>143</v>
      </c>
      <c r="E356" s="79">
        <v>5000</v>
      </c>
      <c r="F356" s="80">
        <v>449.01</v>
      </c>
      <c r="G356" s="81">
        <f t="shared" si="32"/>
        <v>2245050</v>
      </c>
    </row>
    <row r="357" spans="2:7" x14ac:dyDescent="0.35">
      <c r="B357" s="76" t="s">
        <v>275</v>
      </c>
      <c r="C357" s="78" t="s">
        <v>382</v>
      </c>
      <c r="D357" s="76">
        <v>154</v>
      </c>
      <c r="E357" s="79">
        <v>11000</v>
      </c>
      <c r="F357" s="80">
        <v>449.01</v>
      </c>
      <c r="G357" s="81">
        <f t="shared" si="32"/>
        <v>4939110</v>
      </c>
    </row>
    <row r="358" spans="2:7" x14ac:dyDescent="0.35">
      <c r="B358" s="76" t="s">
        <v>275</v>
      </c>
      <c r="C358" s="78" t="s">
        <v>383</v>
      </c>
      <c r="D358" s="76">
        <v>81</v>
      </c>
      <c r="E358" s="79">
        <v>4000</v>
      </c>
      <c r="F358" s="80">
        <v>449.01</v>
      </c>
      <c r="G358" s="81">
        <f t="shared" si="32"/>
        <v>1796040</v>
      </c>
    </row>
    <row r="359" spans="2:7" x14ac:dyDescent="0.35">
      <c r="B359" s="76" t="s">
        <v>275</v>
      </c>
      <c r="C359" s="78" t="s">
        <v>378</v>
      </c>
      <c r="D359" s="76">
        <v>173</v>
      </c>
      <c r="E359" s="79">
        <v>2750</v>
      </c>
      <c r="F359" s="80">
        <v>449.01</v>
      </c>
      <c r="G359" s="81">
        <f t="shared" si="32"/>
        <v>1234777.5</v>
      </c>
    </row>
    <row r="360" spans="2:7" x14ac:dyDescent="0.35">
      <c r="B360" s="76" t="s">
        <v>275</v>
      </c>
      <c r="C360" s="78" t="s">
        <v>379</v>
      </c>
      <c r="D360" s="76">
        <v>168</v>
      </c>
      <c r="E360" s="79">
        <v>3000</v>
      </c>
      <c r="F360" s="80">
        <v>449.01</v>
      </c>
      <c r="G360" s="81">
        <f>E360*F360</f>
        <v>1347030</v>
      </c>
    </row>
    <row r="361" spans="2:7" x14ac:dyDescent="0.35">
      <c r="B361" s="76" t="s">
        <v>275</v>
      </c>
      <c r="C361" s="78" t="s">
        <v>378</v>
      </c>
      <c r="D361" s="76">
        <v>170</v>
      </c>
      <c r="E361" s="79">
        <v>8000</v>
      </c>
      <c r="F361" s="80">
        <v>449.01</v>
      </c>
      <c r="G361" s="81">
        <f t="shared" ref="G361:G371" si="33">E361*F361</f>
        <v>3592080</v>
      </c>
    </row>
    <row r="362" spans="2:7" x14ac:dyDescent="0.35">
      <c r="B362" s="76" t="s">
        <v>275</v>
      </c>
      <c r="C362" s="78" t="s">
        <v>378</v>
      </c>
      <c r="D362" s="76">
        <v>177</v>
      </c>
      <c r="E362" s="79">
        <v>750</v>
      </c>
      <c r="F362" s="80">
        <v>449.01</v>
      </c>
      <c r="G362" s="81">
        <f t="shared" si="33"/>
        <v>336757.5</v>
      </c>
    </row>
    <row r="363" spans="2:7" x14ac:dyDescent="0.35">
      <c r="B363" s="76" t="s">
        <v>275</v>
      </c>
      <c r="C363" s="78" t="s">
        <v>378</v>
      </c>
      <c r="D363" s="76">
        <v>175</v>
      </c>
      <c r="E363" s="79">
        <v>11500</v>
      </c>
      <c r="F363" s="80">
        <v>449.01</v>
      </c>
      <c r="G363" s="81">
        <f t="shared" si="33"/>
        <v>5163615</v>
      </c>
    </row>
    <row r="364" spans="2:7" x14ac:dyDescent="0.35">
      <c r="B364" s="76" t="s">
        <v>278</v>
      </c>
      <c r="C364" s="78" t="s">
        <v>384</v>
      </c>
      <c r="D364" s="76">
        <v>81104</v>
      </c>
      <c r="E364" s="79">
        <v>1309.1199999999999</v>
      </c>
      <c r="F364" s="80">
        <v>437.4</v>
      </c>
      <c r="G364" s="81">
        <f t="shared" si="33"/>
        <v>572609.08799999987</v>
      </c>
    </row>
    <row r="365" spans="2:7" x14ac:dyDescent="0.35">
      <c r="B365" s="76" t="s">
        <v>278</v>
      </c>
      <c r="C365" s="78" t="s">
        <v>385</v>
      </c>
      <c r="D365" s="76">
        <v>81110</v>
      </c>
      <c r="E365" s="79">
        <v>3570.78</v>
      </c>
      <c r="F365" s="80">
        <v>437.4</v>
      </c>
      <c r="G365" s="81">
        <f t="shared" si="33"/>
        <v>1561859.172</v>
      </c>
    </row>
    <row r="366" spans="2:7" x14ac:dyDescent="0.35">
      <c r="B366" s="76" t="s">
        <v>278</v>
      </c>
      <c r="C366" s="78" t="s">
        <v>378</v>
      </c>
      <c r="D366" s="76">
        <v>81077</v>
      </c>
      <c r="E366" s="79">
        <v>33000</v>
      </c>
      <c r="F366" s="80">
        <v>437.4</v>
      </c>
      <c r="G366" s="81">
        <f t="shared" si="33"/>
        <v>14434200</v>
      </c>
    </row>
    <row r="367" spans="2:7" x14ac:dyDescent="0.35">
      <c r="B367" s="76" t="s">
        <v>372</v>
      </c>
      <c r="C367" s="78" t="s">
        <v>385</v>
      </c>
      <c r="D367" s="76">
        <v>30265</v>
      </c>
      <c r="E367" s="79">
        <v>3896.65</v>
      </c>
      <c r="F367" s="80">
        <v>435.04</v>
      </c>
      <c r="G367" s="81">
        <f t="shared" si="33"/>
        <v>1695198.6160000002</v>
      </c>
    </row>
    <row r="368" spans="2:7" x14ac:dyDescent="0.35">
      <c r="B368" s="76" t="s">
        <v>279</v>
      </c>
      <c r="C368" s="78" t="s">
        <v>386</v>
      </c>
      <c r="D368" s="76">
        <v>28913</v>
      </c>
      <c r="E368" s="79">
        <v>1000</v>
      </c>
      <c r="F368" s="80">
        <v>449.01</v>
      </c>
      <c r="G368" s="81">
        <f t="shared" si="33"/>
        <v>449010</v>
      </c>
    </row>
    <row r="369" spans="2:7" x14ac:dyDescent="0.35">
      <c r="B369" s="76" t="s">
        <v>279</v>
      </c>
      <c r="C369" s="78" t="s">
        <v>383</v>
      </c>
      <c r="D369" s="76">
        <v>28910</v>
      </c>
      <c r="E369" s="79">
        <v>2000</v>
      </c>
      <c r="F369" s="80">
        <v>449.01</v>
      </c>
      <c r="G369" s="81">
        <f t="shared" si="33"/>
        <v>898020</v>
      </c>
    </row>
    <row r="370" spans="2:7" x14ac:dyDescent="0.35">
      <c r="B370" s="76" t="s">
        <v>279</v>
      </c>
      <c r="C370" s="78" t="s">
        <v>387</v>
      </c>
      <c r="D370" s="76">
        <v>28905</v>
      </c>
      <c r="E370" s="79">
        <v>9220.2800000000007</v>
      </c>
      <c r="F370" s="80">
        <v>449.01</v>
      </c>
      <c r="G370" s="81">
        <f t="shared" si="33"/>
        <v>4139997.9228000003</v>
      </c>
    </row>
    <row r="371" spans="2:7" x14ac:dyDescent="0.35">
      <c r="B371" s="76" t="s">
        <v>279</v>
      </c>
      <c r="C371" s="78" t="s">
        <v>385</v>
      </c>
      <c r="D371" s="76">
        <v>28947</v>
      </c>
      <c r="E371" s="79">
        <v>3779.72</v>
      </c>
      <c r="F371" s="80">
        <v>449.01</v>
      </c>
      <c r="G371" s="81">
        <f t="shared" si="33"/>
        <v>1697132.0771999999</v>
      </c>
    </row>
    <row r="372" spans="2:7" x14ac:dyDescent="0.35">
      <c r="B372" s="264" t="s">
        <v>68</v>
      </c>
      <c r="C372" s="264"/>
      <c r="D372" s="264"/>
      <c r="E372" s="83">
        <f>SUM(E347:E371)</f>
        <v>170834.18999999997</v>
      </c>
      <c r="F372" s="84">
        <f>IFERROR(G372/E372,0)</f>
        <v>444.85973365537848</v>
      </c>
      <c r="G372" s="85">
        <f>SUM(G347:G371)</f>
        <v>75997252.26263231</v>
      </c>
    </row>
  </sheetData>
  <autoFilter ref="B131:G159" xr:uid="{00000000-0001-0000-0200-000000000000}"/>
  <mergeCells count="39">
    <mergeCell ref="B256:D256"/>
    <mergeCell ref="F194:G194"/>
    <mergeCell ref="B130:E130"/>
    <mergeCell ref="F130:G130"/>
    <mergeCell ref="B1:U3"/>
    <mergeCell ref="F41:G41"/>
    <mergeCell ref="B39:D39"/>
    <mergeCell ref="V1:V3"/>
    <mergeCell ref="B314:D314"/>
    <mergeCell ref="F258:G258"/>
    <mergeCell ref="B284:D284"/>
    <mergeCell ref="B224:D224"/>
    <mergeCell ref="B159:D159"/>
    <mergeCell ref="B161:E161"/>
    <mergeCell ref="B286:E286"/>
    <mergeCell ref="F286:G286"/>
    <mergeCell ref="F72:G72"/>
    <mergeCell ref="B99:D99"/>
    <mergeCell ref="B226:E226"/>
    <mergeCell ref="F226:G226"/>
    <mergeCell ref="B6:E6"/>
    <mergeCell ref="F6:G6"/>
    <mergeCell ref="B41:E41"/>
    <mergeCell ref="B345:E345"/>
    <mergeCell ref="F345:G345"/>
    <mergeCell ref="B372:D372"/>
    <mergeCell ref="I15:J15"/>
    <mergeCell ref="B72:E72"/>
    <mergeCell ref="B258:E258"/>
    <mergeCell ref="F161:G161"/>
    <mergeCell ref="B192:D192"/>
    <mergeCell ref="B194:E194"/>
    <mergeCell ref="B316:E316"/>
    <mergeCell ref="F316:G316"/>
    <mergeCell ref="B343:D343"/>
    <mergeCell ref="B70:D70"/>
    <mergeCell ref="B101:E101"/>
    <mergeCell ref="F101:G101"/>
    <mergeCell ref="B128:D128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F70 F99 F39 F314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23"/>
  <sheetViews>
    <sheetView showGridLines="0" zoomScale="70" zoomScaleNormal="70" workbookViewId="0">
      <selection activeCell="M17" sqref="M17:N19"/>
    </sheetView>
  </sheetViews>
  <sheetFormatPr defaultRowHeight="14.5" x14ac:dyDescent="0.35"/>
  <cols>
    <col min="1" max="1" width="3.81640625" customWidth="1"/>
    <col min="2" max="2" width="13.7265625" customWidth="1"/>
    <col min="3" max="3" width="15.453125" bestFit="1" customWidth="1"/>
    <col min="4" max="4" width="10.453125" customWidth="1"/>
    <col min="5" max="5" width="13.453125" customWidth="1"/>
    <col min="6" max="6" width="11.1796875" style="22" customWidth="1"/>
    <col min="7" max="7" width="11.81640625" style="21" bestFit="1" customWidth="1"/>
    <col min="8" max="8" width="11.1796875" customWidth="1"/>
    <col min="9" max="9" width="11.81640625" style="21" bestFit="1" customWidth="1"/>
    <col min="10" max="10" width="7.1796875" bestFit="1" customWidth="1"/>
    <col min="11" max="11" width="7.1796875" customWidth="1"/>
    <col min="12" max="12" width="13.54296875" customWidth="1"/>
    <col min="13" max="13" width="14.1796875" customWidth="1"/>
    <col min="14" max="14" width="13.26953125" bestFit="1" customWidth="1"/>
    <col min="15" max="15" width="14" customWidth="1"/>
    <col min="16" max="16" width="12.26953125" style="22" customWidth="1"/>
    <col min="17" max="17" width="14.26953125" style="21" bestFit="1" customWidth="1"/>
    <col min="18" max="18" width="11.26953125" customWidth="1"/>
    <col min="19" max="19" width="14.26953125" style="21" bestFit="1" customWidth="1"/>
    <col min="20" max="20" width="7.1796875" bestFit="1" customWidth="1"/>
  </cols>
  <sheetData>
    <row r="1" spans="2:20" ht="15" customHeight="1" x14ac:dyDescent="0.35">
      <c r="B1" s="260" t="s">
        <v>134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</row>
    <row r="2" spans="2:20" ht="15" customHeight="1" x14ac:dyDescent="0.35"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</row>
    <row r="3" spans="2:20" ht="15" customHeight="1" x14ac:dyDescent="0.3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</row>
    <row r="4" spans="2:20" x14ac:dyDescent="0.35">
      <c r="B4" s="7"/>
      <c r="C4" s="7"/>
      <c r="D4" s="7"/>
      <c r="E4" s="7"/>
      <c r="F4" s="24"/>
      <c r="G4" s="20"/>
      <c r="H4" s="7"/>
      <c r="I4" s="20"/>
      <c r="J4" s="7"/>
      <c r="K4" s="7"/>
      <c r="L4" s="7"/>
      <c r="M4" s="7"/>
      <c r="N4" s="7"/>
      <c r="O4" s="7"/>
      <c r="P4" s="24"/>
      <c r="Q4" s="20"/>
      <c r="R4" s="7"/>
      <c r="S4" s="20"/>
      <c r="T4" s="7"/>
    </row>
    <row r="5" spans="2:20" s="1" customFormat="1" x14ac:dyDescent="0.35">
      <c r="B5" s="261" t="s">
        <v>4</v>
      </c>
      <c r="C5" s="261"/>
      <c r="D5" s="261"/>
      <c r="E5" s="261"/>
      <c r="F5" s="261"/>
      <c r="G5" s="261"/>
      <c r="H5" s="261"/>
      <c r="I5" s="261"/>
      <c r="J5" s="261"/>
      <c r="K5" s="6"/>
      <c r="L5" s="261" t="s">
        <v>5</v>
      </c>
      <c r="M5" s="261"/>
      <c r="N5" s="261"/>
      <c r="O5" s="261"/>
      <c r="P5" s="261"/>
      <c r="Q5" s="261"/>
      <c r="R5" s="261"/>
      <c r="S5" s="261"/>
      <c r="T5" s="261"/>
    </row>
    <row r="6" spans="2:20" s="1" customFormat="1" x14ac:dyDescent="0.35">
      <c r="B6" s="261" t="s">
        <v>3</v>
      </c>
      <c r="C6" s="261"/>
      <c r="D6" s="261"/>
      <c r="E6" s="261"/>
      <c r="F6" s="261"/>
      <c r="G6" s="261"/>
      <c r="H6" s="261"/>
      <c r="I6" s="261"/>
      <c r="J6" s="261"/>
      <c r="L6" s="261" t="s">
        <v>3</v>
      </c>
      <c r="M6" s="261"/>
      <c r="N6" s="261"/>
      <c r="O6" s="261"/>
      <c r="P6" s="261"/>
      <c r="Q6" s="261"/>
      <c r="R6" s="261"/>
      <c r="S6" s="261"/>
      <c r="T6" s="261"/>
    </row>
    <row r="7" spans="2:20" s="3" customFormat="1" ht="43.5" x14ac:dyDescent="0.35">
      <c r="B7" s="74" t="s">
        <v>140</v>
      </c>
      <c r="C7" s="63" t="s">
        <v>139</v>
      </c>
      <c r="D7" s="63" t="s">
        <v>0</v>
      </c>
      <c r="E7" s="64" t="s">
        <v>1</v>
      </c>
      <c r="F7" s="63" t="s">
        <v>95</v>
      </c>
      <c r="G7" s="64" t="s">
        <v>7</v>
      </c>
      <c r="H7" s="63" t="s">
        <v>6</v>
      </c>
      <c r="I7" s="75" t="s">
        <v>13</v>
      </c>
      <c r="J7" s="63" t="s">
        <v>12</v>
      </c>
      <c r="L7" s="74" t="s">
        <v>140</v>
      </c>
      <c r="M7" s="63" t="s">
        <v>139</v>
      </c>
      <c r="N7" s="63" t="s">
        <v>0</v>
      </c>
      <c r="O7" s="64" t="s">
        <v>1</v>
      </c>
      <c r="P7" s="63" t="s">
        <v>2</v>
      </c>
      <c r="Q7" s="64" t="s">
        <v>7</v>
      </c>
      <c r="R7" s="63" t="s">
        <v>6</v>
      </c>
      <c r="S7" s="75" t="s">
        <v>13</v>
      </c>
      <c r="T7" s="63" t="s">
        <v>12</v>
      </c>
    </row>
    <row r="8" spans="2:20" x14ac:dyDescent="0.35">
      <c r="B8" s="88">
        <v>45658</v>
      </c>
      <c r="C8" s="236">
        <f>IFERROR(VLOOKUP(B8,'NF Óleo Comb'!$J$5:$P$18,2,0),0)</f>
        <v>2.5337116264106663</v>
      </c>
      <c r="D8" s="144">
        <f>'ANP Óleo Comb'!O6</f>
        <v>3.6601034019486751</v>
      </c>
      <c r="E8" s="131">
        <f t="shared" ref="E8:E19" si="0">MIN(C8,D8)</f>
        <v>2.5337116264106663</v>
      </c>
      <c r="F8" s="89">
        <f>SCD!G10*1000</f>
        <v>0</v>
      </c>
      <c r="G8" s="89">
        <f>E8*F8</f>
        <v>0</v>
      </c>
      <c r="H8" s="90">
        <f>Parâmetros!$D$6</f>
        <v>0.95379800000000003</v>
      </c>
      <c r="I8" s="89">
        <f t="shared" ref="I8:I13" si="1">G8*H8</f>
        <v>0</v>
      </c>
      <c r="J8" s="79"/>
      <c r="L8" s="88">
        <v>45658</v>
      </c>
      <c r="M8" s="236">
        <f>IFERROR(VLOOKUP(L8,'NF Diesel'!$T$6:$Z$18,2,0),0)</f>
        <v>4.4165000000000001</v>
      </c>
      <c r="N8" s="144">
        <f>'ANP Diesel'!K9</f>
        <v>4.3164999999999996</v>
      </c>
      <c r="O8" s="131">
        <f>MIN(M8,N8)</f>
        <v>4.3164999999999996</v>
      </c>
      <c r="P8" s="89">
        <f>SCD!F10*1000</f>
        <v>455451.00000000006</v>
      </c>
      <c r="Q8" s="89">
        <f>(O8*P8)</f>
        <v>1965954.2415</v>
      </c>
      <c r="R8" s="90">
        <f>Parâmetros!$D$6</f>
        <v>0.95379800000000003</v>
      </c>
      <c r="S8" s="89">
        <f>Q8*R8</f>
        <v>1875123.2236342172</v>
      </c>
      <c r="T8" s="79">
        <v>1</v>
      </c>
    </row>
    <row r="9" spans="2:20" x14ac:dyDescent="0.35">
      <c r="B9" s="88">
        <v>45689</v>
      </c>
      <c r="C9" s="236">
        <f>IFERROR(VLOOKUP(B9,'NF Óleo Comb'!$J$5:$P$18,2,0),0)</f>
        <v>2.5337116264106663</v>
      </c>
      <c r="D9" s="144">
        <f>'ANP Óleo Comb'!O8</f>
        <v>3.7635848546435815</v>
      </c>
      <c r="E9" s="131">
        <f>MIN(C9,D9)</f>
        <v>2.5337116264106663</v>
      </c>
      <c r="F9" s="89">
        <f>SCD!G15*1000</f>
        <v>0</v>
      </c>
      <c r="G9" s="89">
        <f t="shared" ref="G9:G13" si="2">E9*F9</f>
        <v>0</v>
      </c>
      <c r="H9" s="90">
        <f>Parâmetros!$D$6</f>
        <v>0.95379800000000003</v>
      </c>
      <c r="I9" s="89">
        <f t="shared" si="1"/>
        <v>0</v>
      </c>
      <c r="J9" s="79"/>
      <c r="L9" s="88">
        <v>45689</v>
      </c>
      <c r="M9" s="236">
        <f>IFERROR(VLOOKUP(L9,'NF Diesel'!$T$6:$Z$18,2,0),0)</f>
        <v>4.6381499999999996</v>
      </c>
      <c r="N9" s="144">
        <f>'ANP Diesel'!K10</f>
        <v>4.3029999999999999</v>
      </c>
      <c r="O9" s="131">
        <f t="shared" ref="O9:O19" si="3">MIN(M9,N9)</f>
        <v>4.3029999999999999</v>
      </c>
      <c r="P9" s="89">
        <f>SCD!F15*1000</f>
        <v>190394</v>
      </c>
      <c r="Q9" s="89">
        <f t="shared" ref="Q9:Q19" si="4">O9*P9</f>
        <v>819265.38199999998</v>
      </c>
      <c r="R9" s="90">
        <f>Parâmetros!$D$6</f>
        <v>0.95379800000000003</v>
      </c>
      <c r="S9" s="89">
        <f t="shared" ref="S9:S12" si="5">Q9*R9</f>
        <v>781413.68282083597</v>
      </c>
      <c r="T9" s="79"/>
    </row>
    <row r="10" spans="2:20" x14ac:dyDescent="0.35">
      <c r="B10" s="88">
        <v>45717</v>
      </c>
      <c r="C10" s="236">
        <f>IFERROR(VLOOKUP(B10,'NF Óleo Comb'!$J$5:$P$18,2,0),0)</f>
        <v>2.5337116264106663</v>
      </c>
      <c r="D10" s="144">
        <f>'ANP Óleo Comb'!O10</f>
        <v>3.1259687097897157</v>
      </c>
      <c r="E10" s="131">
        <f t="shared" si="0"/>
        <v>2.5337116264106663</v>
      </c>
      <c r="F10" s="89">
        <f>SCD!G20*1000</f>
        <v>0</v>
      </c>
      <c r="G10" s="89">
        <f t="shared" si="2"/>
        <v>0</v>
      </c>
      <c r="H10" s="90">
        <f>Parâmetros!$D$6</f>
        <v>0.95379800000000003</v>
      </c>
      <c r="I10" s="89">
        <f t="shared" si="1"/>
        <v>0</v>
      </c>
      <c r="J10" s="79"/>
      <c r="L10" s="88">
        <v>45717</v>
      </c>
      <c r="M10" s="236">
        <f>IFERROR(VLOOKUP(L10,'NF Diesel'!$T$6:$Z$18,2,0),0)</f>
        <v>4.6099000000000006</v>
      </c>
      <c r="N10" s="144">
        <f>'ANP Diesel'!K11</f>
        <v>4.5389999999999997</v>
      </c>
      <c r="O10" s="131">
        <f t="shared" si="3"/>
        <v>4.5389999999999997</v>
      </c>
      <c r="P10" s="89">
        <f>SCD!F20*1000</f>
        <v>436299.99999999994</v>
      </c>
      <c r="Q10" s="89">
        <f t="shared" si="4"/>
        <v>1980365.6999999997</v>
      </c>
      <c r="R10" s="90">
        <f>Parâmetros!$D$6</f>
        <v>0.95379800000000003</v>
      </c>
      <c r="S10" s="89">
        <f t="shared" si="5"/>
        <v>1888868.8439285997</v>
      </c>
      <c r="T10" s="79">
        <v>1</v>
      </c>
    </row>
    <row r="11" spans="2:20" x14ac:dyDescent="0.35">
      <c r="B11" s="88">
        <v>45748</v>
      </c>
      <c r="C11" s="236">
        <f>IFERROR(VLOOKUP(B11,'NF Óleo Comb'!$J$5:$P$18,2,0),0)</f>
        <v>2.5337116264106663</v>
      </c>
      <c r="D11" s="144">
        <f>'ANP Óleo Comb'!O12</f>
        <v>2.9900571367773017</v>
      </c>
      <c r="E11" s="131">
        <f t="shared" si="0"/>
        <v>2.5337116264106663</v>
      </c>
      <c r="F11" s="89">
        <f>SCD!G25*1000</f>
        <v>0</v>
      </c>
      <c r="G11" s="89">
        <f t="shared" si="2"/>
        <v>0</v>
      </c>
      <c r="H11" s="90">
        <f>Parâmetros!$D$6</f>
        <v>0.95379800000000003</v>
      </c>
      <c r="I11" s="89">
        <f t="shared" si="1"/>
        <v>0</v>
      </c>
      <c r="J11" s="79"/>
      <c r="L11" s="88">
        <v>45748</v>
      </c>
      <c r="M11" s="236">
        <f>IFERROR(VLOOKUP(L11,'NF Diesel'!$T$6:$Z$18,2,0),0)</f>
        <v>4.46</v>
      </c>
      <c r="N11" s="144">
        <f>'ANP Diesel'!K12</f>
        <v>4.484</v>
      </c>
      <c r="O11" s="131">
        <f>MIN(M11,N11)</f>
        <v>4.46</v>
      </c>
      <c r="P11" s="89">
        <f>SCD!F25*1000</f>
        <v>164136</v>
      </c>
      <c r="Q11" s="89">
        <f t="shared" si="4"/>
        <v>732046.55999999994</v>
      </c>
      <c r="R11" s="90">
        <f>Parâmetros!$D$6</f>
        <v>0.95379800000000003</v>
      </c>
      <c r="S11" s="89">
        <f t="shared" si="5"/>
        <v>698224.54483487993</v>
      </c>
      <c r="T11" s="79"/>
    </row>
    <row r="12" spans="2:20" x14ac:dyDescent="0.35">
      <c r="B12" s="88">
        <v>45778</v>
      </c>
      <c r="C12" s="236">
        <f>IFERROR(VLOOKUP(B12,'NF Óleo Comb'!$J$5:$P$18,2,0),0)</f>
        <v>2.5337116264106663</v>
      </c>
      <c r="D12" s="144">
        <f>'ANP Óleo Comb'!O14</f>
        <v>3.0033470554040202</v>
      </c>
      <c r="E12" s="131">
        <f t="shared" si="0"/>
        <v>2.5337116264106663</v>
      </c>
      <c r="F12" s="89">
        <f>SCD!G30*1000</f>
        <v>0</v>
      </c>
      <c r="G12" s="89">
        <f t="shared" si="2"/>
        <v>0</v>
      </c>
      <c r="H12" s="90">
        <f>Parâmetros!$D$6</f>
        <v>0.95379800000000003</v>
      </c>
      <c r="I12" s="89">
        <f t="shared" si="1"/>
        <v>0</v>
      </c>
      <c r="J12" s="79"/>
      <c r="L12" s="88">
        <v>45778</v>
      </c>
      <c r="M12" s="236">
        <f>IFERROR(VLOOKUP(L12,'NF Diesel'!$T$6:$Z$18,2,0),0)</f>
        <v>4.21</v>
      </c>
      <c r="N12" s="144">
        <f>'ANP Diesel'!K13</f>
        <v>4.2610000000000001</v>
      </c>
      <c r="O12" s="131">
        <f t="shared" si="3"/>
        <v>4.21</v>
      </c>
      <c r="P12" s="89">
        <f>SCD!F30*1000</f>
        <v>787708</v>
      </c>
      <c r="Q12" s="89">
        <f t="shared" si="4"/>
        <v>3316250.68</v>
      </c>
      <c r="R12" s="90">
        <f>Parâmetros!$D$6</f>
        <v>0.95379800000000003</v>
      </c>
      <c r="S12" s="89">
        <f t="shared" si="5"/>
        <v>3163033.2660826403</v>
      </c>
      <c r="T12" s="79"/>
    </row>
    <row r="13" spans="2:20" x14ac:dyDescent="0.35">
      <c r="B13" s="88">
        <v>45809</v>
      </c>
      <c r="C13" s="236">
        <f>IFERROR(VLOOKUP(B13,'NF Óleo Comb'!$J$5:$P$18,2,0),0)</f>
        <v>2.5337116264106663</v>
      </c>
      <c r="D13" s="144">
        <f>'ANP Óleo Comb'!O16</f>
        <v>3.1094334375462624</v>
      </c>
      <c r="E13" s="131">
        <f t="shared" si="0"/>
        <v>2.5337116264106663</v>
      </c>
      <c r="F13" s="89">
        <f>SCD!G35*1000</f>
        <v>0</v>
      </c>
      <c r="G13" s="89">
        <f t="shared" si="2"/>
        <v>0</v>
      </c>
      <c r="H13" s="90">
        <f>Parâmetros!$D$6</f>
        <v>0.95379800000000003</v>
      </c>
      <c r="I13" s="89">
        <f t="shared" si="1"/>
        <v>0</v>
      </c>
      <c r="J13" s="79"/>
      <c r="L13" s="88">
        <v>45809</v>
      </c>
      <c r="M13" s="236">
        <f>IFERROR(VLOOKUP(L13,'NF Diesel'!$T$6:$Z$18,2,0),0)</f>
        <v>4.21</v>
      </c>
      <c r="N13" s="144">
        <f>'ANP Diesel'!K14</f>
        <v>4.0510000000000002</v>
      </c>
      <c r="O13" s="131">
        <f t="shared" si="3"/>
        <v>4.0510000000000002</v>
      </c>
      <c r="P13" s="89">
        <f>SCD!F35*1000</f>
        <v>558788</v>
      </c>
      <c r="Q13" s="89">
        <f t="shared" si="4"/>
        <v>2263650.1880000001</v>
      </c>
      <c r="R13" s="90">
        <f>Parâmetros!$D$6</f>
        <v>0.95379800000000003</v>
      </c>
      <c r="S13" s="89">
        <f>Q13*R13</f>
        <v>2159065.0220140242</v>
      </c>
      <c r="T13" s="79"/>
    </row>
    <row r="14" spans="2:20" x14ac:dyDescent="0.35">
      <c r="B14" s="88">
        <v>45839</v>
      </c>
      <c r="C14" s="236">
        <f>IFERROR(VLOOKUP(B14,'NF Óleo Comb'!$J$5:$P$18,2,0),0)</f>
        <v>2.5337116264106663</v>
      </c>
      <c r="D14" s="144">
        <f>'ANP Óleo Comb'!O18</f>
        <v>3.0015082097058379</v>
      </c>
      <c r="E14" s="131">
        <f>MIN(C14,D14)</f>
        <v>2.5337116264106663</v>
      </c>
      <c r="F14" s="89">
        <f>SCD!G40*1000</f>
        <v>0</v>
      </c>
      <c r="G14" s="89">
        <f t="shared" ref="G14" si="6">E14*F14</f>
        <v>0</v>
      </c>
      <c r="H14" s="90">
        <f>Parâmetros!$D$6</f>
        <v>0.95379800000000003</v>
      </c>
      <c r="I14" s="89">
        <f t="shared" ref="I14" si="7">G14*H14</f>
        <v>0</v>
      </c>
      <c r="J14" s="79"/>
      <c r="L14" s="88">
        <v>45839</v>
      </c>
      <c r="M14" s="236">
        <f>IFERROR(VLOOKUP(L14,'NF Diesel'!$T$6:$Z$18,2,0),0)</f>
        <v>4.21</v>
      </c>
      <c r="N14" s="144">
        <f>'ANP Diesel'!K15</f>
        <v>4.0510000000000002</v>
      </c>
      <c r="O14" s="131">
        <f t="shared" si="3"/>
        <v>4.0510000000000002</v>
      </c>
      <c r="P14" s="89">
        <f>SCD!F40*1000</f>
        <v>319322</v>
      </c>
      <c r="Q14" s="89">
        <f t="shared" si="4"/>
        <v>1293573.422</v>
      </c>
      <c r="R14" s="90">
        <f>Parâmetros!$D$6</f>
        <v>0.95379800000000003</v>
      </c>
      <c r="S14" s="89">
        <f>Q14*R14</f>
        <v>1233807.742756756</v>
      </c>
      <c r="T14" s="79"/>
    </row>
    <row r="15" spans="2:20" x14ac:dyDescent="0.35">
      <c r="B15" s="88">
        <v>45870</v>
      </c>
      <c r="C15" s="236">
        <v>2.5337116264106663</v>
      </c>
      <c r="D15" s="144">
        <f>'ANP Óleo Comb'!O20</f>
        <v>2.9652060833660587</v>
      </c>
      <c r="E15" s="131">
        <f t="shared" si="0"/>
        <v>2.5337116264106663</v>
      </c>
      <c r="F15" s="89">
        <f>SCD!G45*1000</f>
        <v>0</v>
      </c>
      <c r="G15" s="89">
        <f t="shared" ref="G15" si="8">E15*F15</f>
        <v>0</v>
      </c>
      <c r="H15" s="90">
        <f>Parâmetros!$D$6</f>
        <v>0.95379800000000003</v>
      </c>
      <c r="I15" s="89">
        <f t="shared" ref="I15" si="9">G15*H15</f>
        <v>0</v>
      </c>
      <c r="J15" s="79"/>
      <c r="L15" s="88">
        <v>45870</v>
      </c>
      <c r="M15" s="236">
        <f>ROUND(IFERROR(VLOOKUP(L15,'NF Diesel'!$T$6:$Z$18,2,0),0),6)</f>
        <v>4.1715499999999999</v>
      </c>
      <c r="N15" s="144">
        <f>'ANP Diesel'!K16</f>
        <v>4.0549999999999997</v>
      </c>
      <c r="O15" s="131">
        <f>MIN(M15,N15)</f>
        <v>4.0549999999999997</v>
      </c>
      <c r="P15" s="89">
        <f>SCD!F45*1000</f>
        <v>167150</v>
      </c>
      <c r="Q15" s="89">
        <f t="shared" si="4"/>
        <v>677793.25</v>
      </c>
      <c r="R15" s="90">
        <f>Parâmetros!$D$6</f>
        <v>0.95379800000000003</v>
      </c>
      <c r="S15" s="89">
        <f>Q15*R15</f>
        <v>646477.84626350005</v>
      </c>
      <c r="T15" s="79"/>
    </row>
    <row r="16" spans="2:20" x14ac:dyDescent="0.35">
      <c r="B16" s="88">
        <v>45901</v>
      </c>
      <c r="C16" s="236">
        <f>IFERROR(VLOOKUP(B16,'NF Óleo Comb'!$J$5:$P$18,2,0),0)</f>
        <v>2.5337116264106663</v>
      </c>
      <c r="D16" s="144">
        <f>'ANP Óleo Comb'!O22</f>
        <v>3.2348162753260872</v>
      </c>
      <c r="E16" s="131">
        <f t="shared" si="0"/>
        <v>2.5337116264106663</v>
      </c>
      <c r="F16" s="89">
        <f>SCD!G50*1000</f>
        <v>0</v>
      </c>
      <c r="G16" s="89">
        <f t="shared" ref="G16" si="10">E16*F16</f>
        <v>0</v>
      </c>
      <c r="H16" s="90">
        <f>Parâmetros!$D$6</f>
        <v>0.95379800000000003</v>
      </c>
      <c r="I16" s="89">
        <f t="shared" ref="I16" si="11">G16*H16</f>
        <v>0</v>
      </c>
      <c r="J16" s="79"/>
      <c r="L16" s="88">
        <v>45901</v>
      </c>
      <c r="M16" s="236">
        <f>IFERROR(VLOOKUP(L16,'NF Diesel'!$T$6:$Z$18,2,0),0)</f>
        <v>4.1715503875968993</v>
      </c>
      <c r="N16" s="144">
        <f>'ANP Diesel'!K17</f>
        <v>4.0549999999999997</v>
      </c>
      <c r="O16" s="79">
        <f t="shared" si="3"/>
        <v>4.0549999999999997</v>
      </c>
      <c r="P16" s="89">
        <f>SCD!F50*1000</f>
        <v>50700</v>
      </c>
      <c r="Q16" s="89">
        <f t="shared" si="4"/>
        <v>205588.5</v>
      </c>
      <c r="R16" s="90">
        <f>Parâmetros!$D$6</f>
        <v>0.95379800000000003</v>
      </c>
      <c r="S16" s="89">
        <f t="shared" ref="S16:S19" si="12">Q16*R16</f>
        <v>196089.900123</v>
      </c>
      <c r="T16" s="79"/>
    </row>
    <row r="17" spans="2:20" x14ac:dyDescent="0.35">
      <c r="B17" s="88">
        <v>45931</v>
      </c>
      <c r="C17" s="236">
        <f>IFERROR(VLOOKUP(B17,'NF Óleo Comb'!$J$5:$P$18,2,0),0)</f>
        <v>2.5337116264106663</v>
      </c>
      <c r="D17" s="144">
        <f>'ANP Óleo Comb'!O24</f>
        <v>2.9863160773087936</v>
      </c>
      <c r="E17" s="131">
        <f t="shared" si="0"/>
        <v>2.5337116264106663</v>
      </c>
      <c r="F17" s="89">
        <f>SCD!G55*1000</f>
        <v>0</v>
      </c>
      <c r="G17" s="89">
        <f t="shared" ref="G17:G19" si="13">E17*F17</f>
        <v>0</v>
      </c>
      <c r="H17" s="90">
        <f>Parâmetros!$D$6</f>
        <v>0.95379800000000003</v>
      </c>
      <c r="I17" s="89">
        <f t="shared" ref="I17:I19" si="14">G17*H17</f>
        <v>0</v>
      </c>
      <c r="J17" s="79"/>
      <c r="L17" s="88">
        <v>45931</v>
      </c>
      <c r="M17" s="236">
        <f>IFERROR(VLOOKUP(L17,'NF Diesel'!$T$6:$Z$18,2,0),0)</f>
        <v>4.18</v>
      </c>
      <c r="N17" s="144">
        <f>'ANP Diesel'!K18</f>
        <v>4.1150000000000002</v>
      </c>
      <c r="O17" s="79">
        <f t="shared" si="3"/>
        <v>4.1150000000000002</v>
      </c>
      <c r="P17" s="89">
        <f>SCD!F55*1000</f>
        <v>386168</v>
      </c>
      <c r="Q17" s="89">
        <f t="shared" si="4"/>
        <v>1589081.32</v>
      </c>
      <c r="R17" s="90">
        <f>Parâmetros!$D$6</f>
        <v>0.95379800000000003</v>
      </c>
      <c r="S17" s="89">
        <f t="shared" si="12"/>
        <v>1515662.5848533602</v>
      </c>
      <c r="T17" s="79"/>
    </row>
    <row r="18" spans="2:20" x14ac:dyDescent="0.35">
      <c r="B18" s="88">
        <v>45962</v>
      </c>
      <c r="C18" s="236">
        <f>IFERROR(VLOOKUP(B18,'NF Óleo Comb'!$J$5:$P$18,2,0),0)</f>
        <v>2.5337116264106663</v>
      </c>
      <c r="D18" s="144">
        <f>'ANP Óleo Comb'!O26</f>
        <v>2.9138467881566381</v>
      </c>
      <c r="E18" s="131">
        <f t="shared" si="0"/>
        <v>2.5337116264106663</v>
      </c>
      <c r="F18" s="89">
        <f>SCD!G60*1000</f>
        <v>0</v>
      </c>
      <c r="G18" s="89">
        <f t="shared" si="13"/>
        <v>0</v>
      </c>
      <c r="H18" s="90">
        <f>Parâmetros!$D$6</f>
        <v>0.95379800000000003</v>
      </c>
      <c r="I18" s="89">
        <f t="shared" si="14"/>
        <v>0</v>
      </c>
      <c r="J18" s="79"/>
      <c r="L18" s="88">
        <v>45962</v>
      </c>
      <c r="M18" s="236">
        <f>IFERROR(VLOOKUP(L18,'NF Diesel'!$T$6:$Z$18,2,0),0)</f>
        <v>4.18037052631579</v>
      </c>
      <c r="N18" s="144">
        <f>'ANP Diesel'!K19</f>
        <v>4.1150000000000002</v>
      </c>
      <c r="O18" s="79">
        <f t="shared" si="3"/>
        <v>4.1150000000000002</v>
      </c>
      <c r="P18" s="89">
        <f>SCD!F60*1000</f>
        <v>224665.00000000003</v>
      </c>
      <c r="Q18" s="89">
        <f t="shared" si="4"/>
        <v>924496.47500000021</v>
      </c>
      <c r="R18" s="90">
        <f>Parâmetros!$D$6</f>
        <v>0.95379800000000003</v>
      </c>
      <c r="S18" s="89">
        <f t="shared" si="12"/>
        <v>881782.88886205025</v>
      </c>
      <c r="T18" s="79"/>
    </row>
    <row r="19" spans="2:20" x14ac:dyDescent="0.35">
      <c r="B19" s="88">
        <v>45992</v>
      </c>
      <c r="C19" s="236">
        <f>IFERROR(VLOOKUP(B19,'NF Óleo Comb'!$J$5:$P$18,2,0),0)</f>
        <v>2.5337116264106663</v>
      </c>
      <c r="D19" s="144">
        <f>'ANP Óleo Comb'!O28</f>
        <v>2.8334984763270898</v>
      </c>
      <c r="E19" s="131">
        <f t="shared" si="0"/>
        <v>2.5337116264106663</v>
      </c>
      <c r="F19" s="89">
        <f>SCD!G65*1000</f>
        <v>0</v>
      </c>
      <c r="G19" s="89">
        <f t="shared" si="13"/>
        <v>0</v>
      </c>
      <c r="H19" s="90">
        <f>Parâmetros!$D$6</f>
        <v>0.95379800000000003</v>
      </c>
      <c r="I19" s="89">
        <f t="shared" si="14"/>
        <v>0</v>
      </c>
      <c r="J19" s="79"/>
      <c r="L19" s="88">
        <v>45992</v>
      </c>
      <c r="M19" s="236">
        <f>IFERROR(VLOOKUP(L19,'NF Diesel'!$T$6:$Z$18,2,0),0)</f>
        <v>4.18</v>
      </c>
      <c r="N19" s="144">
        <f>'ANP Diesel'!K20</f>
        <v>4.1310000000000002</v>
      </c>
      <c r="O19" s="131">
        <f t="shared" si="3"/>
        <v>4.1310000000000002</v>
      </c>
      <c r="P19" s="89">
        <f>SCD!F65*1000</f>
        <v>166200</v>
      </c>
      <c r="Q19" s="89">
        <f t="shared" si="4"/>
        <v>686572.20000000007</v>
      </c>
      <c r="R19" s="90">
        <f>Parâmetros!$D$6</f>
        <v>0.95379800000000003</v>
      </c>
      <c r="S19" s="89">
        <f t="shared" si="12"/>
        <v>654851.19121560012</v>
      </c>
      <c r="T19" s="79"/>
    </row>
    <row r="20" spans="2:20" x14ac:dyDescent="0.35">
      <c r="F20"/>
      <c r="P20"/>
      <c r="Q20"/>
    </row>
    <row r="21" spans="2:20" x14ac:dyDescent="0.35">
      <c r="Q21" s="10"/>
      <c r="R21" s="205"/>
      <c r="S21" s="10"/>
    </row>
    <row r="23" spans="2:20" x14ac:dyDescent="0.35">
      <c r="N23" s="56"/>
    </row>
  </sheetData>
  <mergeCells count="7">
    <mergeCell ref="B5:J5"/>
    <mergeCell ref="B6:E6"/>
    <mergeCell ref="B1:T3"/>
    <mergeCell ref="F6:J6"/>
    <mergeCell ref="L5:T5"/>
    <mergeCell ref="L6:O6"/>
    <mergeCell ref="P6:T6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8:E13 O15:O19 O12:O13 O9:O10 O11 O14 Q15:Q19 Q12:Q13 Q9:Q10 Q11 Q14 E15:E17" evalError="1"/>
    <ignoredError sqref="H8:H19 R11:R19 R8:R10 M1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73"/>
  <sheetViews>
    <sheetView showGridLines="0" zoomScale="90" zoomScaleNormal="90" workbookViewId="0">
      <pane ySplit="5" topLeftCell="A6" activePane="bottomLeft" state="frozen"/>
      <selection pane="bottomLeft" activeCell="L19" sqref="L19"/>
    </sheetView>
  </sheetViews>
  <sheetFormatPr defaultRowHeight="14.5" x14ac:dyDescent="0.35"/>
  <cols>
    <col min="1" max="1" width="3.453125" customWidth="1"/>
    <col min="2" max="2" width="15" bestFit="1" customWidth="1"/>
    <col min="3" max="3" width="7" bestFit="1" customWidth="1"/>
    <col min="4" max="4" width="10.26953125" style="22" bestFit="1" customWidth="1"/>
    <col min="5" max="7" width="12.26953125" style="21" bestFit="1" customWidth="1"/>
    <col min="8" max="8" width="12.7265625" style="21" bestFit="1" customWidth="1"/>
    <col min="10" max="10" width="15.81640625" bestFit="1" customWidth="1"/>
    <col min="11" max="11" width="15.81640625" style="30" customWidth="1"/>
    <col min="12" max="12" width="14.1796875" bestFit="1" customWidth="1"/>
    <col min="13" max="13" width="10.81640625" bestFit="1" customWidth="1"/>
    <col min="14" max="14" width="14.453125" style="29" bestFit="1" customWidth="1"/>
    <col min="15" max="15" width="14.453125" style="7" bestFit="1" customWidth="1"/>
    <col min="16" max="16" width="17" bestFit="1" customWidth="1"/>
  </cols>
  <sheetData>
    <row r="1" spans="2:16" ht="15" customHeight="1" x14ac:dyDescent="0.35">
      <c r="B1" s="260" t="s">
        <v>133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0"/>
    </row>
    <row r="2" spans="2:16" ht="15" customHeight="1" x14ac:dyDescent="0.35"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</row>
    <row r="3" spans="2:16" ht="15" customHeight="1" x14ac:dyDescent="0.35"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</row>
    <row r="4" spans="2:16" ht="29" x14ac:dyDescent="0.35">
      <c r="F4" s="64" t="s">
        <v>80</v>
      </c>
      <c r="G4" s="92">
        <v>0.17</v>
      </c>
      <c r="J4" s="1" t="s">
        <v>156</v>
      </c>
    </row>
    <row r="5" spans="2:16" ht="30" customHeight="1" x14ac:dyDescent="0.35">
      <c r="B5" s="74" t="s">
        <v>78</v>
      </c>
      <c r="C5" s="74" t="s">
        <v>65</v>
      </c>
      <c r="D5" s="74" t="s">
        <v>72</v>
      </c>
      <c r="E5" s="74" t="s">
        <v>67</v>
      </c>
      <c r="F5" s="64" t="s">
        <v>70</v>
      </c>
      <c r="G5" s="64" t="s">
        <v>71</v>
      </c>
      <c r="H5" s="64" t="s">
        <v>61</v>
      </c>
      <c r="J5" s="93" t="s">
        <v>78</v>
      </c>
      <c r="K5" s="94" t="s">
        <v>154</v>
      </c>
      <c r="L5" s="93" t="s">
        <v>158</v>
      </c>
      <c r="M5" s="93" t="s">
        <v>157</v>
      </c>
      <c r="N5" s="93" t="s">
        <v>160</v>
      </c>
      <c r="O5" s="93" t="s">
        <v>159</v>
      </c>
      <c r="P5" s="93" t="s">
        <v>151</v>
      </c>
    </row>
    <row r="6" spans="2:16" x14ac:dyDescent="0.35">
      <c r="B6" s="99">
        <v>43861</v>
      </c>
      <c r="C6" s="79">
        <v>78137</v>
      </c>
      <c r="D6" s="91">
        <v>23260</v>
      </c>
      <c r="E6" s="89">
        <v>80020.67</v>
      </c>
      <c r="F6" s="89">
        <f t="shared" ref="F6:F15" si="0">$G$4*E6</f>
        <v>13603.5139</v>
      </c>
      <c r="G6" s="89">
        <f>(E6-F6)*0.0925</f>
        <v>6143.586939249999</v>
      </c>
      <c r="H6" s="89">
        <f t="shared" ref="H6:H15" si="1">E6-F6-G6</f>
        <v>60273.56916074999</v>
      </c>
      <c r="J6" s="95">
        <v>43831</v>
      </c>
      <c r="K6" s="96">
        <f>IF(P6="SIM",N6,IF(M6&gt;L6,N6,IF(M6&gt;#REF!,#REF!,#REF!)))</f>
        <v>2.5337116264106663</v>
      </c>
      <c r="L6" s="97">
        <v>43864</v>
      </c>
      <c r="M6" s="97">
        <v>43869</v>
      </c>
      <c r="N6" s="96">
        <f t="shared" ref="N6:N18" si="2">VLOOKUP(J6,$B$6:$H$53,7,FALSE)</f>
        <v>2.5337116264106663</v>
      </c>
      <c r="O6" s="95">
        <f>IF(L6&gt;M6,"ATRASO",IF(L6="","NÃO HÁ NF",0))</f>
        <v>0</v>
      </c>
      <c r="P6" s="95"/>
    </row>
    <row r="7" spans="2:16" x14ac:dyDescent="0.35">
      <c r="B7" s="99">
        <v>43861</v>
      </c>
      <c r="C7" s="79">
        <v>78151</v>
      </c>
      <c r="D7" s="91">
        <v>28730</v>
      </c>
      <c r="E7" s="89">
        <v>98838.96</v>
      </c>
      <c r="F7" s="89">
        <f t="shared" si="0"/>
        <v>16802.623200000002</v>
      </c>
      <c r="G7" s="89">
        <f t="shared" ref="G7:G15" si="3">(E7-F7)*0.0925</f>
        <v>7588.3611540000002</v>
      </c>
      <c r="H7" s="89">
        <f t="shared" si="1"/>
        <v>74447.975646000006</v>
      </c>
      <c r="J7" s="98">
        <v>45658</v>
      </c>
      <c r="K7" s="96">
        <f>IF(P7="SIM",N7,IF(M7&gt;L7,N7,IF(M7&gt;L6,N6,K6)))</f>
        <v>2.5337116264106663</v>
      </c>
      <c r="L7" s="97" t="s">
        <v>281</v>
      </c>
      <c r="M7" s="132">
        <v>45695</v>
      </c>
      <c r="N7" s="96">
        <f t="shared" si="2"/>
        <v>0</v>
      </c>
      <c r="O7" s="95" t="str">
        <f t="shared" ref="O7:O9" si="4">IF(L7&gt;M7,"ATRASO",IF(L7="","NÃO HÁ NF",0))</f>
        <v>ATRASO</v>
      </c>
      <c r="P7" s="95"/>
    </row>
    <row r="8" spans="2:16" x14ac:dyDescent="0.35">
      <c r="B8" s="99">
        <v>43861</v>
      </c>
      <c r="C8" s="79">
        <v>59710</v>
      </c>
      <c r="D8" s="91">
        <v>32860.044000000002</v>
      </c>
      <c r="E8" s="89">
        <v>113174.77</v>
      </c>
      <c r="F8" s="89">
        <f t="shared" si="0"/>
        <v>19239.710900000002</v>
      </c>
      <c r="G8" s="89">
        <f t="shared" si="3"/>
        <v>8688.9929667500001</v>
      </c>
      <c r="H8" s="89">
        <f t="shared" si="1"/>
        <v>85246.066133250002</v>
      </c>
      <c r="J8" s="98">
        <v>45689</v>
      </c>
      <c r="K8" s="96">
        <f t="shared" ref="K8:K11" si="5">IF(P8="SIM",N8,IF(M8&gt;L8,N8,IF(M8&gt;L7,N7,K7)))</f>
        <v>2.5337116264106663</v>
      </c>
      <c r="L8" s="97" t="s">
        <v>281</v>
      </c>
      <c r="M8" s="132">
        <v>45726</v>
      </c>
      <c r="N8" s="96">
        <f t="shared" si="2"/>
        <v>0</v>
      </c>
      <c r="O8" s="95" t="str">
        <f t="shared" si="4"/>
        <v>ATRASO</v>
      </c>
      <c r="P8" s="95"/>
    </row>
    <row r="9" spans="2:16" x14ac:dyDescent="0.35">
      <c r="B9" s="99">
        <v>43861</v>
      </c>
      <c r="C9" s="79">
        <v>78224</v>
      </c>
      <c r="D9" s="91">
        <v>11170</v>
      </c>
      <c r="E9" s="89">
        <v>38427.81</v>
      </c>
      <c r="F9" s="89">
        <f t="shared" si="0"/>
        <v>6532.7277000000004</v>
      </c>
      <c r="G9" s="89">
        <f t="shared" si="3"/>
        <v>2950.2951127499996</v>
      </c>
      <c r="H9" s="89">
        <f t="shared" si="1"/>
        <v>28944.78718725</v>
      </c>
      <c r="J9" s="98">
        <v>45717</v>
      </c>
      <c r="K9" s="96">
        <f t="shared" si="5"/>
        <v>2.5337116264106663</v>
      </c>
      <c r="L9" s="97" t="s">
        <v>281</v>
      </c>
      <c r="M9" s="132">
        <v>45754</v>
      </c>
      <c r="N9" s="96">
        <f t="shared" si="2"/>
        <v>0</v>
      </c>
      <c r="O9" s="95" t="str">
        <f t="shared" si="4"/>
        <v>ATRASO</v>
      </c>
      <c r="P9" s="95"/>
    </row>
    <row r="10" spans="2:16" x14ac:dyDescent="0.35">
      <c r="B10" s="99">
        <v>43861</v>
      </c>
      <c r="C10" s="79">
        <v>59805</v>
      </c>
      <c r="D10" s="91">
        <v>32500</v>
      </c>
      <c r="E10" s="89">
        <v>111808.78</v>
      </c>
      <c r="F10" s="89">
        <f t="shared" si="0"/>
        <v>19007.492600000001</v>
      </c>
      <c r="G10" s="89">
        <f t="shared" si="3"/>
        <v>8584.1190845000001</v>
      </c>
      <c r="H10" s="89">
        <f t="shared" si="1"/>
        <v>84217.168315500006</v>
      </c>
      <c r="J10" s="98">
        <v>45748</v>
      </c>
      <c r="K10" s="96">
        <f t="shared" si="5"/>
        <v>2.5337116264106663</v>
      </c>
      <c r="L10" s="97" t="s">
        <v>281</v>
      </c>
      <c r="M10" s="132">
        <v>45785</v>
      </c>
      <c r="N10" s="96">
        <f t="shared" si="2"/>
        <v>0</v>
      </c>
      <c r="O10" s="95" t="str">
        <f t="shared" ref="O10:O18" si="6">IF(L10&gt;M10,"ATRASO",IF(L10="","NÃO HÁ NF",0))</f>
        <v>ATRASO</v>
      </c>
      <c r="P10" s="95"/>
    </row>
    <row r="11" spans="2:16" x14ac:dyDescent="0.35">
      <c r="B11" s="99">
        <v>43861</v>
      </c>
      <c r="C11" s="79">
        <v>78263</v>
      </c>
      <c r="D11" s="91">
        <v>25900</v>
      </c>
      <c r="E11" s="89">
        <v>89103</v>
      </c>
      <c r="F11" s="89">
        <f t="shared" si="0"/>
        <v>15147.51</v>
      </c>
      <c r="G11" s="89">
        <f t="shared" si="3"/>
        <v>6840.8828250000006</v>
      </c>
      <c r="H11" s="89">
        <f t="shared" si="1"/>
        <v>67114.607175000012</v>
      </c>
      <c r="J11" s="98">
        <v>45778</v>
      </c>
      <c r="K11" s="96">
        <f t="shared" si="5"/>
        <v>2.5337116264106663</v>
      </c>
      <c r="L11" s="97" t="s">
        <v>281</v>
      </c>
      <c r="M11" s="132">
        <v>45814</v>
      </c>
      <c r="N11" s="96">
        <f t="shared" si="2"/>
        <v>0</v>
      </c>
      <c r="O11" s="95" t="str">
        <f t="shared" si="6"/>
        <v>ATRASO</v>
      </c>
      <c r="P11" s="95"/>
    </row>
    <row r="12" spans="2:16" x14ac:dyDescent="0.35">
      <c r="B12" s="99">
        <v>43861</v>
      </c>
      <c r="C12" s="79">
        <v>78363</v>
      </c>
      <c r="D12" s="91">
        <v>23870</v>
      </c>
      <c r="E12" s="89">
        <v>77060.710000000006</v>
      </c>
      <c r="F12" s="89">
        <f t="shared" si="0"/>
        <v>13100.320700000002</v>
      </c>
      <c r="G12" s="89">
        <f t="shared" si="3"/>
        <v>5916.3360102500001</v>
      </c>
      <c r="H12" s="89">
        <f t="shared" si="1"/>
        <v>58044.053289750002</v>
      </c>
      <c r="J12" s="98">
        <v>45809</v>
      </c>
      <c r="K12" s="96">
        <f>IF(P12="SIM",N12,IF(M12&gt;=L12,N12,IF(M12&gt;=L11,N11,K11)))</f>
        <v>2.5337116264106663</v>
      </c>
      <c r="L12" s="97" t="s">
        <v>281</v>
      </c>
      <c r="M12" s="132">
        <v>45845</v>
      </c>
      <c r="N12" s="96">
        <f t="shared" si="2"/>
        <v>0</v>
      </c>
      <c r="O12" s="95" t="str">
        <f t="shared" si="6"/>
        <v>ATRASO</v>
      </c>
      <c r="P12" s="95"/>
    </row>
    <row r="13" spans="2:16" x14ac:dyDescent="0.35">
      <c r="B13" s="99">
        <v>43861</v>
      </c>
      <c r="C13" s="79">
        <v>78362</v>
      </c>
      <c r="D13" s="91">
        <v>24980</v>
      </c>
      <c r="E13" s="89">
        <v>80644.179999999993</v>
      </c>
      <c r="F13" s="89">
        <f t="shared" si="0"/>
        <v>13709.5106</v>
      </c>
      <c r="G13" s="89">
        <f t="shared" si="3"/>
        <v>6191.4569194999995</v>
      </c>
      <c r="H13" s="89">
        <f t="shared" si="1"/>
        <v>60743.212480499998</v>
      </c>
      <c r="J13" s="98">
        <v>45839</v>
      </c>
      <c r="K13" s="96">
        <f t="shared" ref="K13:K18" si="7">IF(P13="SIM",N13,IF(M13&gt;=L13,N13,IF(M13&gt;=L12,N12,K12)))</f>
        <v>2.5337116264106663</v>
      </c>
      <c r="L13" s="97" t="s">
        <v>281</v>
      </c>
      <c r="M13" s="132">
        <v>45876</v>
      </c>
      <c r="N13" s="96">
        <f t="shared" si="2"/>
        <v>0</v>
      </c>
      <c r="O13" s="95" t="str">
        <f t="shared" si="6"/>
        <v>ATRASO</v>
      </c>
      <c r="P13" s="95"/>
    </row>
    <row r="14" spans="2:16" x14ac:dyDescent="0.35">
      <c r="B14" s="99">
        <v>43861</v>
      </c>
      <c r="C14" s="79">
        <v>78365</v>
      </c>
      <c r="D14" s="91">
        <v>11050</v>
      </c>
      <c r="E14" s="89">
        <v>35673.269999999997</v>
      </c>
      <c r="F14" s="89">
        <f t="shared" si="0"/>
        <v>6064.4558999999999</v>
      </c>
      <c r="G14" s="89">
        <f t="shared" si="3"/>
        <v>2738.8153042499994</v>
      </c>
      <c r="H14" s="89">
        <f t="shared" si="1"/>
        <v>26869.998795749998</v>
      </c>
      <c r="J14" s="98">
        <v>45870</v>
      </c>
      <c r="K14" s="96">
        <f t="shared" si="7"/>
        <v>2.5337116264106663</v>
      </c>
      <c r="L14" s="97" t="s">
        <v>281</v>
      </c>
      <c r="M14" s="132">
        <v>45905</v>
      </c>
      <c r="N14" s="96">
        <f t="shared" si="2"/>
        <v>0</v>
      </c>
      <c r="O14" s="95" t="str">
        <f t="shared" si="6"/>
        <v>ATRASO</v>
      </c>
      <c r="P14" s="95"/>
    </row>
    <row r="15" spans="2:16" x14ac:dyDescent="0.35">
      <c r="B15" s="99">
        <v>43861</v>
      </c>
      <c r="C15" s="79">
        <v>59884</v>
      </c>
      <c r="D15" s="91">
        <v>32860</v>
      </c>
      <c r="E15" s="89">
        <v>106716.47</v>
      </c>
      <c r="F15" s="89">
        <f t="shared" si="0"/>
        <v>18141.799900000002</v>
      </c>
      <c r="G15" s="89">
        <f t="shared" si="3"/>
        <v>8193.1569842499994</v>
      </c>
      <c r="H15" s="89">
        <f t="shared" si="1"/>
        <v>80381.51311575</v>
      </c>
      <c r="J15" s="98">
        <v>45901</v>
      </c>
      <c r="K15" s="96">
        <f t="shared" si="7"/>
        <v>2.5337116264106663</v>
      </c>
      <c r="L15" s="97" t="s">
        <v>281</v>
      </c>
      <c r="M15" s="132">
        <v>45935</v>
      </c>
      <c r="N15" s="96">
        <f t="shared" si="2"/>
        <v>0</v>
      </c>
      <c r="O15" s="95" t="str">
        <f t="shared" si="6"/>
        <v>ATRASO</v>
      </c>
      <c r="P15" s="95"/>
    </row>
    <row r="16" spans="2:16" x14ac:dyDescent="0.35">
      <c r="B16" s="99">
        <v>43832</v>
      </c>
      <c r="C16" s="82" t="s">
        <v>73</v>
      </c>
      <c r="D16" s="100">
        <f>SUM(D6:D15)</f>
        <v>247180.04399999999</v>
      </c>
      <c r="E16" s="101">
        <f>SUM(E6:E15)</f>
        <v>831468.61999999988</v>
      </c>
      <c r="F16" s="101">
        <f>SUM(F6:F15)</f>
        <v>141349.6654</v>
      </c>
      <c r="G16" s="101">
        <f>SUM(G6:G15)</f>
        <v>63836.0033005</v>
      </c>
      <c r="H16" s="102">
        <f>SUM(H6:H15)</f>
        <v>626282.95129950007</v>
      </c>
      <c r="J16" s="98">
        <v>45931</v>
      </c>
      <c r="K16" s="96">
        <f t="shared" si="7"/>
        <v>2.5337116264106663</v>
      </c>
      <c r="L16" s="97" t="s">
        <v>281</v>
      </c>
      <c r="M16" s="132">
        <v>45968</v>
      </c>
      <c r="N16" s="96">
        <f t="shared" si="2"/>
        <v>0</v>
      </c>
      <c r="O16" s="95" t="str">
        <f t="shared" si="6"/>
        <v>ATRASO</v>
      </c>
      <c r="P16" s="95"/>
    </row>
    <row r="17" spans="2:16" x14ac:dyDescent="0.35">
      <c r="B17" s="103">
        <v>43831</v>
      </c>
      <c r="C17" s="268" t="s">
        <v>79</v>
      </c>
      <c r="D17" s="268"/>
      <c r="E17" s="268"/>
      <c r="F17" s="268"/>
      <c r="G17" s="268"/>
      <c r="H17" s="105">
        <f>IFERROR(H16/D16,0)</f>
        <v>2.5337116264106663</v>
      </c>
      <c r="J17" s="98">
        <v>45962</v>
      </c>
      <c r="K17" s="96">
        <f t="shared" si="7"/>
        <v>2.5337116264106663</v>
      </c>
      <c r="L17" s="97" t="s">
        <v>281</v>
      </c>
      <c r="M17" s="132">
        <v>45996</v>
      </c>
      <c r="N17" s="96">
        <f t="shared" si="2"/>
        <v>0</v>
      </c>
      <c r="O17" s="95" t="str">
        <f t="shared" si="6"/>
        <v>ATRASO</v>
      </c>
      <c r="P17" s="95"/>
    </row>
    <row r="18" spans="2:16" x14ac:dyDescent="0.35">
      <c r="B18" s="99">
        <v>45688</v>
      </c>
      <c r="C18" s="79"/>
      <c r="D18" s="91"/>
      <c r="E18" s="89"/>
      <c r="F18" s="89"/>
      <c r="G18" s="89"/>
      <c r="H18" s="89"/>
      <c r="J18" s="98">
        <v>45992</v>
      </c>
      <c r="K18" s="96">
        <f t="shared" si="7"/>
        <v>2.5337116264106663</v>
      </c>
      <c r="L18" s="97" t="s">
        <v>281</v>
      </c>
      <c r="M18" s="132">
        <v>46030</v>
      </c>
      <c r="N18" s="96">
        <f t="shared" si="2"/>
        <v>0</v>
      </c>
      <c r="O18" s="95" t="str">
        <f t="shared" si="6"/>
        <v>ATRASO</v>
      </c>
      <c r="P18" s="95"/>
    </row>
    <row r="19" spans="2:16" x14ac:dyDescent="0.35">
      <c r="B19" s="99">
        <v>45659</v>
      </c>
      <c r="C19" s="82" t="s">
        <v>73</v>
      </c>
      <c r="D19" s="100">
        <f>SUM(D18:D18)</f>
        <v>0</v>
      </c>
      <c r="E19" s="101"/>
      <c r="F19" s="101"/>
      <c r="G19" s="101"/>
      <c r="H19" s="100">
        <f>SUM(H18:H18)</f>
        <v>0</v>
      </c>
      <c r="J19" s="31"/>
      <c r="K19" s="31"/>
    </row>
    <row r="20" spans="2:16" x14ac:dyDescent="0.35">
      <c r="B20" s="103">
        <v>45658</v>
      </c>
      <c r="C20" s="268" t="s">
        <v>79</v>
      </c>
      <c r="D20" s="268"/>
      <c r="E20" s="268"/>
      <c r="F20" s="268"/>
      <c r="G20" s="268"/>
      <c r="H20" s="105">
        <f>IFERROR(H19/D19,0)</f>
        <v>0</v>
      </c>
      <c r="J20" s="10"/>
      <c r="K20" s="31"/>
    </row>
    <row r="21" spans="2:16" x14ac:dyDescent="0.35">
      <c r="B21" s="99">
        <v>45716</v>
      </c>
      <c r="C21" s="79"/>
      <c r="D21" s="91"/>
      <c r="E21" s="89"/>
      <c r="F21" s="89"/>
      <c r="G21" s="89"/>
      <c r="H21" s="89"/>
      <c r="J21" s="31"/>
      <c r="K21" s="31"/>
    </row>
    <row r="22" spans="2:16" x14ac:dyDescent="0.35">
      <c r="B22" s="99">
        <v>45690</v>
      </c>
      <c r="C22" s="82" t="s">
        <v>73</v>
      </c>
      <c r="D22" s="100">
        <f>SUM(D21:D21)</f>
        <v>0</v>
      </c>
      <c r="E22" s="101"/>
      <c r="F22" s="101"/>
      <c r="G22" s="101"/>
      <c r="H22" s="100">
        <f>SUM(H21:H21)</f>
        <v>0</v>
      </c>
      <c r="J22" s="10"/>
      <c r="K22" s="31"/>
    </row>
    <row r="23" spans="2:16" x14ac:dyDescent="0.35">
      <c r="B23" s="103">
        <v>45689</v>
      </c>
      <c r="C23" s="268" t="s">
        <v>79</v>
      </c>
      <c r="D23" s="268"/>
      <c r="E23" s="268"/>
      <c r="F23" s="268"/>
      <c r="G23" s="268"/>
      <c r="H23" s="105">
        <f>IFERROR(H22/D22,0)</f>
        <v>0</v>
      </c>
      <c r="J23" s="10"/>
      <c r="K23" s="31"/>
    </row>
    <row r="24" spans="2:16" x14ac:dyDescent="0.35">
      <c r="B24" s="99">
        <v>45747</v>
      </c>
      <c r="C24" s="79"/>
      <c r="D24" s="91"/>
      <c r="E24" s="89"/>
      <c r="F24" s="89"/>
      <c r="G24" s="89"/>
      <c r="H24" s="89"/>
      <c r="J24" s="10"/>
      <c r="K24" s="31"/>
    </row>
    <row r="25" spans="2:16" x14ac:dyDescent="0.35">
      <c r="B25" s="99">
        <v>45718</v>
      </c>
      <c r="C25" s="82" t="s">
        <v>73</v>
      </c>
      <c r="D25" s="100">
        <f>SUM(D24:D24)</f>
        <v>0</v>
      </c>
      <c r="E25" s="101"/>
      <c r="F25" s="101"/>
      <c r="G25" s="101"/>
      <c r="H25" s="100">
        <f>SUM(H24:H24)</f>
        <v>0</v>
      </c>
      <c r="J25" s="10"/>
      <c r="K25" s="31"/>
    </row>
    <row r="26" spans="2:16" x14ac:dyDescent="0.35">
      <c r="B26" s="103">
        <v>45717</v>
      </c>
      <c r="C26" s="268" t="s">
        <v>79</v>
      </c>
      <c r="D26" s="268"/>
      <c r="E26" s="268"/>
      <c r="F26" s="268"/>
      <c r="G26" s="268"/>
      <c r="H26" s="105">
        <f t="shared" ref="H26" si="8">IFERROR(H25/D25,0)</f>
        <v>0</v>
      </c>
      <c r="J26" s="10"/>
      <c r="K26" s="31"/>
    </row>
    <row r="27" spans="2:16" x14ac:dyDescent="0.35">
      <c r="B27" s="99">
        <v>45777</v>
      </c>
      <c r="C27" s="79"/>
      <c r="D27" s="91"/>
      <c r="E27" s="89"/>
      <c r="F27" s="89"/>
      <c r="G27" s="89"/>
      <c r="H27" s="89"/>
      <c r="J27" s="10"/>
      <c r="K27" s="31"/>
    </row>
    <row r="28" spans="2:16" x14ac:dyDescent="0.35">
      <c r="B28" s="99">
        <v>45749</v>
      </c>
      <c r="C28" s="82" t="s">
        <v>73</v>
      </c>
      <c r="D28" s="100">
        <f t="shared" ref="D28" si="9">SUM(D27:D27)</f>
        <v>0</v>
      </c>
      <c r="E28" s="101"/>
      <c r="F28" s="101"/>
      <c r="G28" s="101"/>
      <c r="H28" s="100">
        <f t="shared" ref="H28" si="10">SUM(H27:H27)</f>
        <v>0</v>
      </c>
      <c r="J28" s="10"/>
      <c r="K28" s="31"/>
    </row>
    <row r="29" spans="2:16" x14ac:dyDescent="0.35">
      <c r="B29" s="103">
        <v>45748</v>
      </c>
      <c r="C29" s="268" t="s">
        <v>79</v>
      </c>
      <c r="D29" s="268"/>
      <c r="E29" s="268"/>
      <c r="F29" s="268"/>
      <c r="G29" s="268"/>
      <c r="H29" s="105">
        <f t="shared" ref="H29" si="11">IFERROR(H28/D28,0)</f>
        <v>0</v>
      </c>
    </row>
    <row r="30" spans="2:16" x14ac:dyDescent="0.35">
      <c r="B30" s="99">
        <v>45808</v>
      </c>
      <c r="C30" s="79"/>
      <c r="D30" s="91"/>
      <c r="E30" s="89"/>
      <c r="F30" s="89"/>
      <c r="G30" s="89"/>
      <c r="H30" s="89"/>
    </row>
    <row r="31" spans="2:16" ht="15" customHeight="1" x14ac:dyDescent="0.35">
      <c r="B31" s="99">
        <v>45779</v>
      </c>
      <c r="C31" s="82" t="s">
        <v>73</v>
      </c>
      <c r="D31" s="100">
        <f t="shared" ref="D31" si="12">SUM(D30:D30)</f>
        <v>0</v>
      </c>
      <c r="E31" s="101"/>
      <c r="F31" s="101"/>
      <c r="G31" s="101"/>
      <c r="H31" s="100">
        <f>SUM(H30:H30)</f>
        <v>0</v>
      </c>
    </row>
    <row r="32" spans="2:16" x14ac:dyDescent="0.35">
      <c r="B32" s="103">
        <v>45778</v>
      </c>
      <c r="C32" s="268" t="s">
        <v>79</v>
      </c>
      <c r="D32" s="268"/>
      <c r="E32" s="268"/>
      <c r="F32" s="268"/>
      <c r="G32" s="268"/>
      <c r="H32" s="105">
        <f t="shared" ref="H32" si="13">IFERROR(H31/D31,0)</f>
        <v>0</v>
      </c>
    </row>
    <row r="33" spans="2:11" x14ac:dyDescent="0.35">
      <c r="B33" s="99">
        <v>45838</v>
      </c>
      <c r="C33" s="79"/>
      <c r="D33" s="91"/>
      <c r="E33" s="89"/>
      <c r="F33" s="89"/>
      <c r="G33" s="89"/>
      <c r="H33" s="89"/>
    </row>
    <row r="34" spans="2:11" x14ac:dyDescent="0.35">
      <c r="B34" s="99">
        <v>45810</v>
      </c>
      <c r="C34" s="82" t="s">
        <v>73</v>
      </c>
      <c r="D34" s="100">
        <f t="shared" ref="D34" si="14">SUM(D33:D33)</f>
        <v>0</v>
      </c>
      <c r="E34" s="101"/>
      <c r="F34" s="101"/>
      <c r="G34" s="101"/>
      <c r="H34" s="100">
        <f t="shared" ref="H34" si="15">SUM(H33:H33)</f>
        <v>0</v>
      </c>
    </row>
    <row r="35" spans="2:11" x14ac:dyDescent="0.35">
      <c r="B35" s="103">
        <v>45809</v>
      </c>
      <c r="C35" s="268" t="s">
        <v>79</v>
      </c>
      <c r="D35" s="268"/>
      <c r="E35" s="268"/>
      <c r="F35" s="268"/>
      <c r="G35" s="268"/>
      <c r="H35" s="105">
        <f t="shared" ref="H35" si="16">IFERROR(H34/D34,0)</f>
        <v>0</v>
      </c>
    </row>
    <row r="36" spans="2:11" x14ac:dyDescent="0.35">
      <c r="B36" s="99">
        <v>45869</v>
      </c>
      <c r="C36" s="79"/>
      <c r="D36" s="91"/>
      <c r="E36" s="89"/>
      <c r="F36" s="89"/>
      <c r="G36" s="89"/>
      <c r="H36" s="89"/>
    </row>
    <row r="37" spans="2:11" x14ac:dyDescent="0.35">
      <c r="B37" s="99">
        <v>45840</v>
      </c>
      <c r="C37" s="82" t="s">
        <v>73</v>
      </c>
      <c r="D37" s="100">
        <f t="shared" ref="D37" si="17">SUM(D36:D36)</f>
        <v>0</v>
      </c>
      <c r="E37" s="101"/>
      <c r="F37" s="101"/>
      <c r="G37" s="101"/>
      <c r="H37" s="100">
        <f t="shared" ref="H37" si="18">SUM(H36:H36)</f>
        <v>0</v>
      </c>
    </row>
    <row r="38" spans="2:11" x14ac:dyDescent="0.35">
      <c r="B38" s="103">
        <v>45839</v>
      </c>
      <c r="C38" s="268" t="s">
        <v>79</v>
      </c>
      <c r="D38" s="268"/>
      <c r="E38" s="268"/>
      <c r="F38" s="268"/>
      <c r="G38" s="268"/>
      <c r="H38" s="105">
        <f t="shared" ref="H38" si="19">IFERROR(H37/D37,0)</f>
        <v>0</v>
      </c>
    </row>
    <row r="39" spans="2:11" x14ac:dyDescent="0.35">
      <c r="B39" s="99">
        <v>45900</v>
      </c>
      <c r="C39" s="79"/>
      <c r="D39" s="91"/>
      <c r="E39" s="89"/>
      <c r="F39" s="89"/>
      <c r="G39" s="89"/>
      <c r="H39" s="89"/>
    </row>
    <row r="40" spans="2:11" x14ac:dyDescent="0.35">
      <c r="B40" s="99">
        <v>45871</v>
      </c>
      <c r="C40" s="82" t="s">
        <v>73</v>
      </c>
      <c r="D40" s="100">
        <f t="shared" ref="D40" si="20">SUM(D39:D39)</f>
        <v>0</v>
      </c>
      <c r="E40" s="101"/>
      <c r="F40" s="101"/>
      <c r="G40" s="101"/>
      <c r="H40" s="100">
        <f t="shared" ref="H40" si="21">SUM(H39:H39)</f>
        <v>0</v>
      </c>
    </row>
    <row r="41" spans="2:11" x14ac:dyDescent="0.35">
      <c r="B41" s="103">
        <v>45870</v>
      </c>
      <c r="C41" s="268" t="s">
        <v>79</v>
      </c>
      <c r="D41" s="268"/>
      <c r="E41" s="268"/>
      <c r="F41" s="268"/>
      <c r="G41" s="268"/>
      <c r="H41" s="105">
        <f t="shared" ref="H41" si="22">IFERROR(H40/D40,0)</f>
        <v>0</v>
      </c>
      <c r="J41" s="10"/>
      <c r="K41" s="31"/>
    </row>
    <row r="42" spans="2:11" x14ac:dyDescent="0.35">
      <c r="B42" s="99">
        <v>45930</v>
      </c>
      <c r="C42" s="79"/>
      <c r="D42" s="91"/>
      <c r="E42" s="89"/>
      <c r="F42" s="89"/>
      <c r="G42" s="89"/>
      <c r="H42" s="89"/>
    </row>
    <row r="43" spans="2:11" ht="15" customHeight="1" x14ac:dyDescent="0.35">
      <c r="B43" s="99">
        <v>45902</v>
      </c>
      <c r="C43" s="82" t="s">
        <v>73</v>
      </c>
      <c r="D43" s="100">
        <f t="shared" ref="D43" si="23">SUM(D42:D42)</f>
        <v>0</v>
      </c>
      <c r="E43" s="101"/>
      <c r="F43" s="101"/>
      <c r="G43" s="101"/>
      <c r="H43" s="100">
        <f t="shared" ref="H43" si="24">SUM(H42:H42)</f>
        <v>0</v>
      </c>
    </row>
    <row r="44" spans="2:11" x14ac:dyDescent="0.35">
      <c r="B44" s="103">
        <v>45901</v>
      </c>
      <c r="C44" s="268" t="s">
        <v>79</v>
      </c>
      <c r="D44" s="268"/>
      <c r="E44" s="268"/>
      <c r="F44" s="268"/>
      <c r="G44" s="268"/>
      <c r="H44" s="105">
        <f t="shared" ref="H44" si="25">IFERROR(H43/D43,0)</f>
        <v>0</v>
      </c>
    </row>
    <row r="45" spans="2:11" x14ac:dyDescent="0.35">
      <c r="B45" s="99">
        <v>45961</v>
      </c>
      <c r="C45" s="79"/>
      <c r="D45" s="91"/>
      <c r="E45" s="89"/>
      <c r="F45" s="89"/>
      <c r="G45" s="89"/>
      <c r="H45" s="89"/>
    </row>
    <row r="46" spans="2:11" ht="15" customHeight="1" x14ac:dyDescent="0.35">
      <c r="B46" s="99">
        <v>45932</v>
      </c>
      <c r="C46" s="82" t="s">
        <v>73</v>
      </c>
      <c r="D46" s="100">
        <f>SUM(D45:D45)</f>
        <v>0</v>
      </c>
      <c r="E46" s="101"/>
      <c r="F46" s="101"/>
      <c r="G46" s="101"/>
      <c r="H46" s="100">
        <f>SUM(H45:H45)</f>
        <v>0</v>
      </c>
    </row>
    <row r="47" spans="2:11" x14ac:dyDescent="0.35">
      <c r="B47" s="103">
        <v>45931</v>
      </c>
      <c r="C47" s="268" t="s">
        <v>79</v>
      </c>
      <c r="D47" s="268"/>
      <c r="E47" s="268"/>
      <c r="F47" s="268"/>
      <c r="G47" s="268"/>
      <c r="H47" s="105">
        <f t="shared" ref="H47" si="26">IFERROR(H46/D46,0)</f>
        <v>0</v>
      </c>
    </row>
    <row r="48" spans="2:11" x14ac:dyDescent="0.35">
      <c r="B48" s="99">
        <v>45991</v>
      </c>
      <c r="C48" s="79"/>
      <c r="D48" s="91"/>
      <c r="E48" s="89"/>
      <c r="F48" s="89"/>
      <c r="G48" s="89"/>
      <c r="H48" s="89"/>
    </row>
    <row r="49" spans="2:8" ht="15" customHeight="1" x14ac:dyDescent="0.35">
      <c r="B49" s="99">
        <v>45963</v>
      </c>
      <c r="C49" s="82" t="s">
        <v>73</v>
      </c>
      <c r="D49" s="100">
        <f t="shared" ref="D49" si="27">SUM(D48:D48)</f>
        <v>0</v>
      </c>
      <c r="E49" s="101"/>
      <c r="F49" s="101"/>
      <c r="G49" s="101"/>
      <c r="H49" s="100">
        <f t="shared" ref="H49" si="28">SUM(H48:H48)</f>
        <v>0</v>
      </c>
    </row>
    <row r="50" spans="2:8" x14ac:dyDescent="0.35">
      <c r="B50" s="103">
        <v>45962</v>
      </c>
      <c r="C50" s="268" t="s">
        <v>79</v>
      </c>
      <c r="D50" s="268"/>
      <c r="E50" s="268"/>
      <c r="F50" s="268"/>
      <c r="G50" s="268"/>
      <c r="H50" s="105">
        <f t="shared" ref="H50" si="29">IFERROR(H49/D49,0)</f>
        <v>0</v>
      </c>
    </row>
    <row r="51" spans="2:8" x14ac:dyDescent="0.35">
      <c r="B51" s="99">
        <v>46022</v>
      </c>
      <c r="C51" s="79"/>
      <c r="D51" s="91"/>
      <c r="E51" s="89"/>
      <c r="F51" s="89"/>
      <c r="G51" s="89"/>
      <c r="H51" s="89"/>
    </row>
    <row r="52" spans="2:8" ht="15" customHeight="1" x14ac:dyDescent="0.35">
      <c r="B52" s="99">
        <v>45993</v>
      </c>
      <c r="C52" s="82" t="s">
        <v>73</v>
      </c>
      <c r="D52" s="100">
        <f t="shared" ref="D52" si="30">SUM(D51:D51)</f>
        <v>0</v>
      </c>
      <c r="E52" s="101"/>
      <c r="F52" s="101"/>
      <c r="G52" s="101"/>
      <c r="H52" s="100">
        <f t="shared" ref="H52" si="31">SUM(H51:H51)</f>
        <v>0</v>
      </c>
    </row>
    <row r="53" spans="2:8" x14ac:dyDescent="0.35">
      <c r="B53" s="103">
        <v>45992</v>
      </c>
      <c r="C53" s="268" t="s">
        <v>79</v>
      </c>
      <c r="D53" s="268"/>
      <c r="E53" s="268"/>
      <c r="F53" s="268"/>
      <c r="G53" s="268"/>
      <c r="H53" s="105">
        <f t="shared" ref="H53" si="32">IFERROR(H52/D52,0)</f>
        <v>0</v>
      </c>
    </row>
    <row r="55" spans="2:8" ht="15" customHeight="1" x14ac:dyDescent="0.35"/>
    <row r="58" spans="2:8" ht="15" customHeight="1" x14ac:dyDescent="0.35"/>
    <row r="61" spans="2:8" ht="15" customHeight="1" x14ac:dyDescent="0.35"/>
    <row r="64" spans="2:8" ht="15" customHeight="1" x14ac:dyDescent="0.35"/>
    <row r="67" ht="15" customHeight="1" x14ac:dyDescent="0.35"/>
    <row r="70" ht="15" customHeight="1" x14ac:dyDescent="0.35"/>
    <row r="73" ht="15" customHeight="1" x14ac:dyDescent="0.35"/>
  </sheetData>
  <mergeCells count="15">
    <mergeCell ref="C32:G32"/>
    <mergeCell ref="C35:G35"/>
    <mergeCell ref="C20:G20"/>
    <mergeCell ref="B1:O3"/>
    <mergeCell ref="C53:G53"/>
    <mergeCell ref="C38:G38"/>
    <mergeCell ref="C44:G44"/>
    <mergeCell ref="C47:G47"/>
    <mergeCell ref="C50:G50"/>
    <mergeCell ref="C41:G41"/>
    <mergeCell ref="P1:P3"/>
    <mergeCell ref="C17:G17"/>
    <mergeCell ref="C26:G26"/>
    <mergeCell ref="C23:G23"/>
    <mergeCell ref="C29:G2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Z167"/>
  <sheetViews>
    <sheetView showGridLines="0" zoomScale="80" zoomScaleNormal="80" workbookViewId="0">
      <pane ySplit="5" topLeftCell="A87" activePane="bottomLeft" state="frozen"/>
      <selection pane="bottomLeft" activeCell="V19" sqref="V19"/>
    </sheetView>
  </sheetViews>
  <sheetFormatPr defaultRowHeight="14.5" x14ac:dyDescent="0.35"/>
  <cols>
    <col min="1" max="1" width="5" customWidth="1"/>
    <col min="2" max="2" width="11" customWidth="1"/>
    <col min="3" max="3" width="9.1796875" customWidth="1"/>
    <col min="4" max="4" width="11.453125" style="22" bestFit="1" customWidth="1"/>
    <col min="5" max="6" width="13" style="21" bestFit="1" customWidth="1"/>
    <col min="7" max="7" width="11.453125" style="21" bestFit="1" customWidth="1"/>
    <col min="8" max="8" width="9.1796875" customWidth="1"/>
    <col min="9" max="9" width="13" style="21" bestFit="1" customWidth="1"/>
    <col min="10" max="10" width="13.453125" hidden="1" customWidth="1"/>
    <col min="11" max="11" width="11.54296875" hidden="1" customWidth="1"/>
    <col min="12" max="13" width="12.81640625" hidden="1" customWidth="1"/>
    <col min="14" max="16" width="9.1796875" hidden="1" customWidth="1"/>
    <col min="17" max="18" width="0" hidden="1" customWidth="1"/>
    <col min="19" max="19" width="15" customWidth="1"/>
    <col min="20" max="20" width="16.453125" customWidth="1"/>
    <col min="21" max="21" width="14.26953125" bestFit="1" customWidth="1"/>
    <col min="22" max="22" width="13.81640625" customWidth="1"/>
    <col min="23" max="23" width="13.1796875" customWidth="1"/>
    <col min="24" max="24" width="15.26953125" customWidth="1"/>
    <col min="25" max="25" width="11" bestFit="1" customWidth="1"/>
    <col min="26" max="26" width="17.1796875" customWidth="1"/>
  </cols>
  <sheetData>
    <row r="1" spans="2:26" ht="23.25" customHeight="1" x14ac:dyDescent="0.35">
      <c r="B1" s="260" t="s">
        <v>135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</row>
    <row r="2" spans="2:26" ht="15" customHeight="1" x14ac:dyDescent="0.35"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</row>
    <row r="3" spans="2:26" ht="29" x14ac:dyDescent="0.35">
      <c r="B3" s="19"/>
      <c r="C3" s="19"/>
      <c r="D3" s="19"/>
      <c r="E3" s="19"/>
      <c r="F3" s="19"/>
      <c r="G3" s="39" t="s">
        <v>75</v>
      </c>
      <c r="H3" s="227">
        <v>1.1200000000000001</v>
      </c>
      <c r="I3" s="36"/>
      <c r="J3" s="19"/>
      <c r="K3" s="19"/>
      <c r="L3" s="19"/>
      <c r="M3" s="19"/>
      <c r="N3" s="19"/>
      <c r="O3" s="19"/>
      <c r="P3" s="19"/>
    </row>
    <row r="4" spans="2:26" x14ac:dyDescent="0.35">
      <c r="G4" s="13" t="s">
        <v>103</v>
      </c>
      <c r="T4" s="120" t="s">
        <v>156</v>
      </c>
    </row>
    <row r="5" spans="2:26" ht="43.5" x14ac:dyDescent="0.35">
      <c r="B5" s="74" t="s">
        <v>69</v>
      </c>
      <c r="C5" s="74" t="s">
        <v>65</v>
      </c>
      <c r="D5" s="74" t="s">
        <v>209</v>
      </c>
      <c r="E5" s="74" t="s">
        <v>67</v>
      </c>
      <c r="F5" s="64" t="s">
        <v>122</v>
      </c>
      <c r="G5" s="64" t="s">
        <v>101</v>
      </c>
      <c r="H5" s="64" t="s">
        <v>102</v>
      </c>
      <c r="I5" s="64" t="s">
        <v>61</v>
      </c>
      <c r="J5" s="15" t="s">
        <v>100</v>
      </c>
      <c r="K5" s="15" t="s">
        <v>125</v>
      </c>
      <c r="L5" s="16" t="s">
        <v>137</v>
      </c>
      <c r="M5" s="16" t="s">
        <v>151</v>
      </c>
      <c r="T5" s="74" t="s">
        <v>78</v>
      </c>
      <c r="U5" s="75" t="s">
        <v>154</v>
      </c>
      <c r="V5" s="74" t="s">
        <v>158</v>
      </c>
      <c r="W5" s="74" t="s">
        <v>157</v>
      </c>
      <c r="X5" s="74" t="s">
        <v>160</v>
      </c>
      <c r="Y5" s="74" t="s">
        <v>159</v>
      </c>
      <c r="Z5" s="74" t="s">
        <v>155</v>
      </c>
    </row>
    <row r="6" spans="2:26" x14ac:dyDescent="0.35">
      <c r="B6" s="124">
        <v>45657</v>
      </c>
      <c r="C6" s="125">
        <v>304685</v>
      </c>
      <c r="D6" s="126">
        <v>64000</v>
      </c>
      <c r="E6" s="127">
        <v>350720</v>
      </c>
      <c r="F6" s="127">
        <f>IFERROR(D6*VLOOKUP(B6,'ANP Diesel'!$B$8:$E$20,4,0),0)</f>
        <v>68064</v>
      </c>
      <c r="G6" s="127">
        <v>68064</v>
      </c>
      <c r="H6" s="127">
        <f>F10286</f>
        <v>0</v>
      </c>
      <c r="I6" s="127">
        <f t="shared" ref="I6:I7" si="0">E6-G6-H6</f>
        <v>282656</v>
      </c>
      <c r="T6" s="99">
        <v>45627</v>
      </c>
      <c r="U6" s="131">
        <f>I10</f>
        <v>4.4165000000000001</v>
      </c>
      <c r="V6" s="132"/>
      <c r="W6" s="132">
        <v>45298</v>
      </c>
      <c r="X6" s="131">
        <f>I10</f>
        <v>4.4165000000000001</v>
      </c>
      <c r="Y6" s="99" t="str">
        <f t="shared" ref="Y6" si="1">IF(V6&gt;W6,"ATRASO",IF(V6="","NÃO HÁ NF","OK"))</f>
        <v>NÃO HÁ NF</v>
      </c>
      <c r="Z6" s="99"/>
    </row>
    <row r="7" spans="2:26" x14ac:dyDescent="0.35">
      <c r="B7" s="124">
        <v>45657</v>
      </c>
      <c r="C7" s="125">
        <v>305519</v>
      </c>
      <c r="D7" s="126">
        <v>62000</v>
      </c>
      <c r="E7" s="127">
        <v>339760</v>
      </c>
      <c r="F7" s="127">
        <f>IFERROR(D7*VLOOKUP(B7,'ANP Diesel'!$B$8:$E$20,4,0),0)</f>
        <v>65937</v>
      </c>
      <c r="G7" s="127">
        <v>65937</v>
      </c>
      <c r="H7" s="127">
        <f>F10287</f>
        <v>0</v>
      </c>
      <c r="I7" s="127">
        <f t="shared" si="0"/>
        <v>273823</v>
      </c>
      <c r="T7" s="67">
        <v>45658</v>
      </c>
      <c r="U7" s="131">
        <f t="shared" ref="U7:U14" si="2">IF(Z7="SIM",X7,IF(W7&gt;=V7,X7,IF(W7&gt;=V6,X6,U6)))</f>
        <v>4.4165000000000001</v>
      </c>
      <c r="V7" s="132">
        <v>45663</v>
      </c>
      <c r="W7" s="132">
        <v>45695</v>
      </c>
      <c r="X7" s="131">
        <f>VLOOKUP(T7,$B$6:$I$122,8,FALSE)</f>
        <v>4.4165000000000001</v>
      </c>
      <c r="Y7" s="99" t="str">
        <f t="shared" ref="Y7:Y18" si="3">IF(V7&gt;W7,"ATRASO",IF(V7="","NÃO HÁ NF","OK"))</f>
        <v>OK</v>
      </c>
      <c r="Z7" s="99"/>
    </row>
    <row r="8" spans="2:26" x14ac:dyDescent="0.35">
      <c r="B8" s="124"/>
      <c r="C8" s="125"/>
      <c r="D8" s="126"/>
      <c r="E8" s="127"/>
      <c r="F8" s="127"/>
      <c r="G8" s="127"/>
      <c r="H8" s="127"/>
      <c r="I8" s="127"/>
      <c r="T8" s="67">
        <v>45689</v>
      </c>
      <c r="U8" s="131">
        <f t="shared" si="2"/>
        <v>4.6381499999999996</v>
      </c>
      <c r="V8" s="132">
        <v>45698</v>
      </c>
      <c r="W8" s="132">
        <v>45726</v>
      </c>
      <c r="X8" s="131">
        <f t="shared" ref="X8:X18" si="4">VLOOKUP(T8,$B$6:$I$100,8,FALSE)</f>
        <v>4.6381499999999996</v>
      </c>
      <c r="Y8" s="99" t="str">
        <f t="shared" si="3"/>
        <v>OK</v>
      </c>
      <c r="Z8" s="99"/>
    </row>
    <row r="9" spans="2:26" x14ac:dyDescent="0.35">
      <c r="B9" s="99">
        <v>45627</v>
      </c>
      <c r="C9" s="82" t="s">
        <v>73</v>
      </c>
      <c r="D9" s="100">
        <f>SUM(D6:D8)</f>
        <v>126000</v>
      </c>
      <c r="E9" s="102">
        <f>SUM(E6:E8)</f>
        <v>690480</v>
      </c>
      <c r="F9" s="101">
        <f>SUM(F6:F8)</f>
        <v>134001</v>
      </c>
      <c r="G9" s="101">
        <f>SUM(G6:G8)</f>
        <v>134001</v>
      </c>
      <c r="H9" s="101">
        <f>SUM(H8:H8)</f>
        <v>0</v>
      </c>
      <c r="I9" s="102">
        <f>SUM(I6:I8)</f>
        <v>556479</v>
      </c>
      <c r="T9" s="67">
        <v>45717</v>
      </c>
      <c r="U9" s="131">
        <f t="shared" si="2"/>
        <v>4.6099000000000006</v>
      </c>
      <c r="V9" s="132">
        <v>45722</v>
      </c>
      <c r="W9" s="132">
        <v>45754</v>
      </c>
      <c r="X9" s="131">
        <f t="shared" si="4"/>
        <v>4.6099000000000006</v>
      </c>
      <c r="Y9" s="99" t="str">
        <f t="shared" si="3"/>
        <v>OK</v>
      </c>
      <c r="Z9" s="99"/>
    </row>
    <row r="10" spans="2:26" x14ac:dyDescent="0.35">
      <c r="B10" s="103">
        <v>45627</v>
      </c>
      <c r="C10" s="104" t="s">
        <v>74</v>
      </c>
      <c r="D10" s="104"/>
      <c r="E10" s="104"/>
      <c r="F10" s="104"/>
      <c r="G10" s="104"/>
      <c r="H10" s="103"/>
      <c r="I10" s="105">
        <f>IFERROR(I9/D9,0)</f>
        <v>4.4165000000000001</v>
      </c>
      <c r="T10" s="67">
        <v>45748</v>
      </c>
      <c r="U10" s="131">
        <f t="shared" si="2"/>
        <v>4.46</v>
      </c>
      <c r="V10" s="132">
        <v>45784</v>
      </c>
      <c r="W10" s="132">
        <v>45785</v>
      </c>
      <c r="X10" s="131">
        <f t="shared" si="4"/>
        <v>4.46</v>
      </c>
      <c r="Y10" s="99" t="str">
        <f t="shared" si="3"/>
        <v>OK</v>
      </c>
      <c r="Z10" s="99"/>
    </row>
    <row r="11" spans="2:26" x14ac:dyDescent="0.35">
      <c r="B11" s="124">
        <v>45688</v>
      </c>
      <c r="C11" s="125">
        <v>309040</v>
      </c>
      <c r="D11" s="126">
        <v>62000</v>
      </c>
      <c r="E11" s="127">
        <v>339760</v>
      </c>
      <c r="F11" s="127">
        <f>IFERROR(D11*VLOOKUP(B11,'ANP Diesel'!$B$8:$E$20,4,0),0)</f>
        <v>0</v>
      </c>
      <c r="G11" s="127">
        <v>65937</v>
      </c>
      <c r="H11" s="125">
        <f>F11*0</f>
        <v>0</v>
      </c>
      <c r="I11" s="127">
        <f>E11-G11-H11</f>
        <v>273823</v>
      </c>
      <c r="T11" s="67">
        <v>45778</v>
      </c>
      <c r="U11" s="131">
        <f t="shared" si="2"/>
        <v>4.21</v>
      </c>
      <c r="V11" s="132">
        <v>45813</v>
      </c>
      <c r="W11" s="132">
        <v>45814</v>
      </c>
      <c r="X11" s="131">
        <f t="shared" si="4"/>
        <v>4.21</v>
      </c>
      <c r="Y11" s="99" t="str">
        <f t="shared" si="3"/>
        <v>OK</v>
      </c>
      <c r="Z11" s="99"/>
    </row>
    <row r="12" spans="2:26" x14ac:dyDescent="0.35">
      <c r="B12" s="124">
        <v>45688</v>
      </c>
      <c r="C12" s="125">
        <v>309354</v>
      </c>
      <c r="D12" s="126">
        <v>64000</v>
      </c>
      <c r="E12" s="127">
        <v>350720</v>
      </c>
      <c r="F12" s="127">
        <f>IFERROR(D12*VLOOKUP(B12,'ANP Diesel'!$B$8:$E$20,4,0),0)</f>
        <v>0</v>
      </c>
      <c r="G12" s="127">
        <v>68064</v>
      </c>
      <c r="H12" s="125">
        <f t="shared" ref="H12:H17" si="5">F12*0</f>
        <v>0</v>
      </c>
      <c r="I12" s="127">
        <f t="shared" ref="I12:I16" si="6">E12-G12-H12</f>
        <v>282656</v>
      </c>
      <c r="T12" s="67">
        <v>45809</v>
      </c>
      <c r="U12" s="131">
        <f t="shared" si="2"/>
        <v>4.21</v>
      </c>
      <c r="V12" s="132">
        <v>45844</v>
      </c>
      <c r="W12" s="132">
        <v>45845</v>
      </c>
      <c r="X12" s="131">
        <f t="shared" si="4"/>
        <v>4.21</v>
      </c>
      <c r="Y12" s="99" t="str">
        <f t="shared" si="3"/>
        <v>OK</v>
      </c>
      <c r="Z12" s="99"/>
    </row>
    <row r="13" spans="2:26" x14ac:dyDescent="0.35">
      <c r="B13" s="124">
        <v>45688</v>
      </c>
      <c r="C13" s="125">
        <v>308933</v>
      </c>
      <c r="D13" s="126">
        <v>62000</v>
      </c>
      <c r="E13" s="127">
        <v>339760</v>
      </c>
      <c r="F13" s="127">
        <f>IFERROR(D13*VLOOKUP(B13,'ANP Diesel'!$B$8:$E$20,4,0),0)</f>
        <v>0</v>
      </c>
      <c r="G13" s="127">
        <v>65937</v>
      </c>
      <c r="H13" s="125">
        <f t="shared" si="5"/>
        <v>0</v>
      </c>
      <c r="I13" s="127">
        <f t="shared" si="6"/>
        <v>273823</v>
      </c>
      <c r="J13" s="121">
        <f t="shared" ref="J13:R13" si="7">SUM(J8:J12)</f>
        <v>0</v>
      </c>
      <c r="K13" s="25">
        <f t="shared" si="7"/>
        <v>0</v>
      </c>
      <c r="L13" s="25">
        <f t="shared" si="7"/>
        <v>0</v>
      </c>
      <c r="M13" s="25">
        <f t="shared" si="7"/>
        <v>0</v>
      </c>
      <c r="N13" s="25">
        <f t="shared" si="7"/>
        <v>0</v>
      </c>
      <c r="O13" s="25">
        <f t="shared" si="7"/>
        <v>0</v>
      </c>
      <c r="P13" s="25">
        <f t="shared" si="7"/>
        <v>0</v>
      </c>
      <c r="Q13" s="25">
        <f t="shared" si="7"/>
        <v>0</v>
      </c>
      <c r="R13" s="25">
        <f t="shared" si="7"/>
        <v>0</v>
      </c>
      <c r="T13" s="67">
        <v>45839</v>
      </c>
      <c r="U13" s="131">
        <f t="shared" si="2"/>
        <v>4.21</v>
      </c>
      <c r="V13" s="132">
        <v>45876</v>
      </c>
      <c r="W13" s="132">
        <v>45876</v>
      </c>
      <c r="X13" s="131">
        <f t="shared" si="4"/>
        <v>4.21</v>
      </c>
      <c r="Y13" s="99" t="str">
        <f t="shared" si="3"/>
        <v>OK</v>
      </c>
      <c r="Z13" s="99"/>
    </row>
    <row r="14" spans="2:26" x14ac:dyDescent="0.35">
      <c r="B14" s="124">
        <v>45688</v>
      </c>
      <c r="C14" s="125">
        <v>308098</v>
      </c>
      <c r="D14" s="126">
        <v>62000</v>
      </c>
      <c r="E14" s="127">
        <v>339760</v>
      </c>
      <c r="F14" s="127">
        <f>IFERROR(D14*VLOOKUP(B14,'ANP Diesel'!$B$8:$E$20,4,0),0)</f>
        <v>0</v>
      </c>
      <c r="G14" s="127">
        <v>65937</v>
      </c>
      <c r="H14" s="125">
        <f t="shared" si="5"/>
        <v>0</v>
      </c>
      <c r="I14" s="127">
        <f t="shared" si="6"/>
        <v>273823</v>
      </c>
      <c r="J14" s="122">
        <f>IFERROR(J13/E9,0)</f>
        <v>0</v>
      </c>
      <c r="K14" s="26">
        <f>IFERROR(K13/F9,0)</f>
        <v>0</v>
      </c>
      <c r="L14" s="26">
        <f>IFERROR(L13/G9,0)</f>
        <v>0</v>
      </c>
      <c r="M14" s="26">
        <f>IFERROR(M13/H9,0)</f>
        <v>0</v>
      </c>
      <c r="N14" s="26">
        <f>IFERROR(N13/I9,0)</f>
        <v>0</v>
      </c>
      <c r="O14" s="26">
        <f t="shared" ref="O14:R14" si="8">IFERROR(O13/J13,0)</f>
        <v>0</v>
      </c>
      <c r="P14" s="26">
        <f t="shared" si="8"/>
        <v>0</v>
      </c>
      <c r="Q14" s="26">
        <f t="shared" si="8"/>
        <v>0</v>
      </c>
      <c r="R14" s="26">
        <f t="shared" si="8"/>
        <v>0</v>
      </c>
      <c r="T14" s="67">
        <v>45870</v>
      </c>
      <c r="U14" s="131">
        <f t="shared" si="2"/>
        <v>4.1715503875968993</v>
      </c>
      <c r="V14" s="132">
        <v>45908</v>
      </c>
      <c r="W14" s="132">
        <v>45908</v>
      </c>
      <c r="X14" s="131">
        <f t="shared" si="4"/>
        <v>4.1715503875968993</v>
      </c>
      <c r="Y14" s="99" t="str">
        <f t="shared" si="3"/>
        <v>OK</v>
      </c>
      <c r="Z14" s="99"/>
    </row>
    <row r="15" spans="2:26" x14ac:dyDescent="0.35">
      <c r="B15" s="124">
        <v>45688</v>
      </c>
      <c r="C15" s="125">
        <v>308066</v>
      </c>
      <c r="D15" s="126">
        <v>64000</v>
      </c>
      <c r="E15" s="127">
        <v>350720</v>
      </c>
      <c r="F15" s="127">
        <f>IFERROR(D15*VLOOKUP(B15,'ANP Diesel'!$B$8:$E$20,4,0),0)</f>
        <v>0</v>
      </c>
      <c r="G15" s="127">
        <v>68064</v>
      </c>
      <c r="H15" s="125">
        <f t="shared" si="5"/>
        <v>0</v>
      </c>
      <c r="I15" s="127">
        <f t="shared" si="6"/>
        <v>282656</v>
      </c>
      <c r="T15" s="67">
        <v>45901</v>
      </c>
      <c r="U15" s="131">
        <f>IF(Z15="SIM",X15,IF(W15&gt;=V15,X15,IF(W15&gt;=V14,X14,U14)))</f>
        <v>4.1715503875968993</v>
      </c>
      <c r="V15" s="99" t="str">
        <f t="shared" ref="V15" si="9">IF(S15&gt;T15,"ATRASO",IF(S15="","NÃO HÁ NF","OK"))</f>
        <v>NÃO HÁ NF</v>
      </c>
      <c r="W15" s="132">
        <v>45937</v>
      </c>
      <c r="X15" s="131">
        <f t="shared" si="4"/>
        <v>0</v>
      </c>
      <c r="Y15" s="99" t="s">
        <v>376</v>
      </c>
      <c r="Z15" s="99"/>
    </row>
    <row r="16" spans="2:26" x14ac:dyDescent="0.35">
      <c r="B16" s="124">
        <v>45688</v>
      </c>
      <c r="C16" s="125">
        <v>308005</v>
      </c>
      <c r="D16" s="126">
        <v>62000</v>
      </c>
      <c r="E16" s="127">
        <v>339760</v>
      </c>
      <c r="F16" s="127">
        <f>IFERROR(D16*VLOOKUP(B16,'ANP Diesel'!$B$8:$E$20,4,0),0)</f>
        <v>0</v>
      </c>
      <c r="G16" s="127">
        <v>65937</v>
      </c>
      <c r="H16" s="125">
        <f t="shared" si="5"/>
        <v>0</v>
      </c>
      <c r="I16" s="127">
        <f t="shared" si="6"/>
        <v>273823</v>
      </c>
      <c r="T16" s="67">
        <v>45931</v>
      </c>
      <c r="U16" s="131">
        <f>IF(Z16="SIM",X16,IF(W16&gt;=V16,X16,IF(W16&gt;=V15,X15,U15)))</f>
        <v>4.18</v>
      </c>
      <c r="V16" s="132">
        <v>45964</v>
      </c>
      <c r="W16" s="132">
        <v>45968</v>
      </c>
      <c r="X16" s="131">
        <f t="shared" si="4"/>
        <v>4.18</v>
      </c>
      <c r="Y16" s="99" t="str">
        <f t="shared" si="3"/>
        <v>OK</v>
      </c>
      <c r="Z16" s="99"/>
    </row>
    <row r="17" spans="2:26" x14ac:dyDescent="0.35">
      <c r="B17" s="124">
        <v>45688</v>
      </c>
      <c r="C17" s="125">
        <v>307899</v>
      </c>
      <c r="D17" s="126">
        <v>62000</v>
      </c>
      <c r="E17" s="127">
        <v>339760</v>
      </c>
      <c r="F17" s="127">
        <f>IFERROR(D17*VLOOKUP(B17,'ANP Diesel'!$B$8:$E$20,4,0),0)</f>
        <v>0</v>
      </c>
      <c r="G17" s="127">
        <v>65937</v>
      </c>
      <c r="H17" s="125">
        <f t="shared" si="5"/>
        <v>0</v>
      </c>
      <c r="I17" s="127">
        <f>E17-G17-H17</f>
        <v>273823</v>
      </c>
      <c r="T17" s="67">
        <v>45962</v>
      </c>
      <c r="U17" s="131">
        <f t="shared" ref="U17:U18" si="10">IF(Z17="SIM",X17,IF(W17&gt;=V17,X17,IF(W17&gt;=V16,X16,U16)))</f>
        <v>4.18037052631579</v>
      </c>
      <c r="V17" s="132">
        <v>45996</v>
      </c>
      <c r="W17" s="132">
        <v>45996</v>
      </c>
      <c r="X17" s="131">
        <f t="shared" si="4"/>
        <v>4.18037052631579</v>
      </c>
      <c r="Y17" s="99" t="str">
        <f t="shared" si="3"/>
        <v>OK</v>
      </c>
      <c r="Z17" s="99"/>
    </row>
    <row r="18" spans="2:26" x14ac:dyDescent="0.35">
      <c r="B18" s="124">
        <v>45688</v>
      </c>
      <c r="C18" s="82" t="s">
        <v>73</v>
      </c>
      <c r="D18" s="186">
        <f>SUM(D11:D17)</f>
        <v>438000</v>
      </c>
      <c r="E18" s="187">
        <f>SUM(E11:E17)</f>
        <v>2400240</v>
      </c>
      <c r="F18" s="101">
        <f>SUM(F11:F17)</f>
        <v>0</v>
      </c>
      <c r="G18" s="127">
        <f>SUM(G11:G17)</f>
        <v>465813</v>
      </c>
      <c r="H18" s="128">
        <f>SUM(H11:H12)</f>
        <v>0</v>
      </c>
      <c r="I18" s="102">
        <f>SUM(I11:R17)</f>
        <v>1934427</v>
      </c>
      <c r="J18" s="123">
        <v>43832</v>
      </c>
      <c r="K18" s="14">
        <v>43806</v>
      </c>
      <c r="T18" s="67">
        <v>45992</v>
      </c>
      <c r="U18" s="131">
        <f t="shared" si="10"/>
        <v>4.18</v>
      </c>
      <c r="V18" s="132">
        <v>46030</v>
      </c>
      <c r="W18" s="132">
        <v>46030</v>
      </c>
      <c r="X18" s="131">
        <f t="shared" si="4"/>
        <v>4.18</v>
      </c>
      <c r="Y18" s="99" t="str">
        <f t="shared" si="3"/>
        <v>OK</v>
      </c>
      <c r="Z18" s="99"/>
    </row>
    <row r="19" spans="2:26" x14ac:dyDescent="0.35">
      <c r="B19" s="103">
        <v>45658</v>
      </c>
      <c r="C19" s="104"/>
      <c r="D19" s="104"/>
      <c r="E19" s="104"/>
      <c r="F19" s="104"/>
      <c r="G19" s="104"/>
      <c r="H19" s="103"/>
      <c r="I19" s="105">
        <f>IFERROR(I18/D18,0)</f>
        <v>4.4165000000000001</v>
      </c>
      <c r="J19" s="123">
        <v>43832</v>
      </c>
      <c r="K19" s="14">
        <v>43806</v>
      </c>
      <c r="L19" s="17" t="str">
        <f>IF("SIM"=M19,#REF!,IF(OR(K19&gt;J19,K19=J19),#REF!,"Fora do Prazo"))</f>
        <v>Fora do Prazo</v>
      </c>
      <c r="M19" s="18"/>
    </row>
    <row r="20" spans="2:26" ht="15" customHeight="1" x14ac:dyDescent="0.35">
      <c r="B20" s="124">
        <v>45716</v>
      </c>
      <c r="C20" s="125">
        <v>310860</v>
      </c>
      <c r="D20" s="126">
        <v>64000</v>
      </c>
      <c r="E20" s="127">
        <v>366713.59999999998</v>
      </c>
      <c r="F20" s="127">
        <f>IFERROR(D20*VLOOKUP(B20,'ANP Diesel'!$B$8:$E$20,4,0),0)</f>
        <v>71680</v>
      </c>
      <c r="G20" s="127">
        <v>68064</v>
      </c>
      <c r="H20" s="125">
        <v>0</v>
      </c>
      <c r="I20" s="127">
        <f>E20-G20-H20</f>
        <v>298649.59999999998</v>
      </c>
    </row>
    <row r="21" spans="2:26" x14ac:dyDescent="0.35">
      <c r="B21" s="124">
        <v>45716</v>
      </c>
      <c r="C21" s="129">
        <v>309557</v>
      </c>
      <c r="D21" s="126">
        <v>62000</v>
      </c>
      <c r="E21" s="127">
        <v>355253.8</v>
      </c>
      <c r="F21" s="127">
        <f>IFERROR(D21*VLOOKUP(B21,'ANP Diesel'!$B$8:$E$20,4,0),0)</f>
        <v>69440</v>
      </c>
      <c r="G21" s="127">
        <v>69440</v>
      </c>
      <c r="H21" s="125">
        <f>F18*0</f>
        <v>0</v>
      </c>
      <c r="I21" s="127">
        <f>E21-G21-H21</f>
        <v>285813.8</v>
      </c>
      <c r="S21" s="21"/>
    </row>
    <row r="22" spans="2:26" x14ac:dyDescent="0.35">
      <c r="B22" s="124">
        <v>45716</v>
      </c>
      <c r="C22" s="129">
        <v>310796</v>
      </c>
      <c r="D22" s="126">
        <v>62000</v>
      </c>
      <c r="E22" s="127">
        <v>355253.8</v>
      </c>
      <c r="F22" s="127">
        <f>IFERROR(D22*VLOOKUP(B22,'ANP Diesel'!$B$8:$E$20,4,0),0)</f>
        <v>69440</v>
      </c>
      <c r="G22" s="127">
        <v>65937</v>
      </c>
      <c r="H22" s="125">
        <f t="shared" ref="H22:H23" si="11">F19*0</f>
        <v>0</v>
      </c>
      <c r="I22" s="127">
        <f t="shared" ref="I22:I23" si="12">E22-G22-H22</f>
        <v>289316.8</v>
      </c>
      <c r="S22" s="21"/>
    </row>
    <row r="23" spans="2:26" x14ac:dyDescent="0.35">
      <c r="B23" s="124">
        <v>45716</v>
      </c>
      <c r="C23" s="129">
        <v>309496</v>
      </c>
      <c r="D23" s="126">
        <v>64000</v>
      </c>
      <c r="E23" s="127">
        <v>366713.59999999998</v>
      </c>
      <c r="F23" s="127">
        <f>IFERROR(D23*VLOOKUP(B23,'ANP Diesel'!$B$8:$E$20,4,0),0)</f>
        <v>71680</v>
      </c>
      <c r="G23" s="127">
        <v>71680</v>
      </c>
      <c r="H23" s="125">
        <f t="shared" si="11"/>
        <v>0</v>
      </c>
      <c r="I23" s="127">
        <f t="shared" si="12"/>
        <v>295033.59999999998</v>
      </c>
      <c r="S23" s="21"/>
    </row>
    <row r="24" spans="2:26" x14ac:dyDescent="0.35">
      <c r="B24" s="124">
        <v>45716</v>
      </c>
      <c r="C24" s="82" t="s">
        <v>73</v>
      </c>
      <c r="D24" s="100">
        <f>SUM(D20:D23)</f>
        <v>252000</v>
      </c>
      <c r="E24" s="102">
        <f>SUM(E20:E23)</f>
        <v>1443934.7999999998</v>
      </c>
      <c r="F24" s="101">
        <f t="shared" ref="F24:H24" si="13">SUM(F20:F21)</f>
        <v>141120</v>
      </c>
      <c r="G24" s="101">
        <f>SUM(G20:G23)</f>
        <v>275121</v>
      </c>
      <c r="H24" s="128">
        <f t="shared" si="13"/>
        <v>0</v>
      </c>
      <c r="I24" s="102">
        <f>SUM(I20:R23)</f>
        <v>1168813.7999999998</v>
      </c>
      <c r="S24" s="10"/>
      <c r="T24" s="188"/>
    </row>
    <row r="25" spans="2:26" ht="14.25" customHeight="1" x14ac:dyDescent="0.35">
      <c r="B25" s="103">
        <v>45689</v>
      </c>
      <c r="C25" s="104" t="s">
        <v>74</v>
      </c>
      <c r="D25" s="104"/>
      <c r="E25" s="104"/>
      <c r="F25" s="104"/>
      <c r="G25" s="104"/>
      <c r="H25" s="103"/>
      <c r="I25" s="130">
        <f>IFERROR(I24/D24,0)</f>
        <v>4.6381499999999996</v>
      </c>
      <c r="S25" s="10"/>
    </row>
    <row r="26" spans="2:26" x14ac:dyDescent="0.35">
      <c r="B26" s="124">
        <v>45747</v>
      </c>
      <c r="C26" s="226" t="s">
        <v>293</v>
      </c>
      <c r="D26" s="126">
        <v>62000</v>
      </c>
      <c r="E26" s="127">
        <v>355253.8</v>
      </c>
      <c r="F26" s="127">
        <f>IFERROR(D26*VLOOKUP(B26,'ANP Diesel'!$B$8:$E$20,4,0),0)</f>
        <v>69440</v>
      </c>
      <c r="G26" s="127">
        <f>D26*$H$3</f>
        <v>69440</v>
      </c>
      <c r="H26" s="125">
        <f>F26*0</f>
        <v>0</v>
      </c>
      <c r="I26" s="127">
        <f>E26-G26-H26</f>
        <v>285813.8</v>
      </c>
      <c r="S26" s="10"/>
    </row>
    <row r="27" spans="2:26" x14ac:dyDescent="0.35">
      <c r="B27" s="124">
        <v>45747</v>
      </c>
      <c r="C27" s="226" t="s">
        <v>294</v>
      </c>
      <c r="D27" s="126">
        <v>64000</v>
      </c>
      <c r="E27" s="127">
        <v>366713.59999999998</v>
      </c>
      <c r="F27" s="127">
        <f>IFERROR(D27*VLOOKUP(B27,'ANP Diesel'!$B$8:$E$20,4,0),0)</f>
        <v>71680</v>
      </c>
      <c r="G27" s="127">
        <f t="shared" ref="G27:G31" si="14">D27*$H$3</f>
        <v>71680</v>
      </c>
      <c r="H27" s="125">
        <f t="shared" ref="H27:H31" si="15">F27*0</f>
        <v>0</v>
      </c>
      <c r="I27" s="127">
        <f t="shared" ref="I27:I31" si="16">E27-G27-H27</f>
        <v>295033.59999999998</v>
      </c>
      <c r="J27" s="123">
        <v>43864</v>
      </c>
      <c r="K27" s="14">
        <v>43838</v>
      </c>
      <c r="S27" s="10"/>
    </row>
    <row r="28" spans="2:26" x14ac:dyDescent="0.35">
      <c r="B28" s="124">
        <v>45747</v>
      </c>
      <c r="C28" s="226" t="s">
        <v>295</v>
      </c>
      <c r="D28" s="126">
        <v>62000</v>
      </c>
      <c r="E28" s="127">
        <v>355253.8</v>
      </c>
      <c r="F28" s="127">
        <f>IFERROR(D28*VLOOKUP(B28,'ANP Diesel'!$B$8:$E$20,4,0),0)</f>
        <v>69440</v>
      </c>
      <c r="G28" s="127">
        <f t="shared" si="14"/>
        <v>69440</v>
      </c>
      <c r="H28" s="125">
        <f t="shared" si="15"/>
        <v>0</v>
      </c>
      <c r="I28" s="127">
        <f t="shared" si="16"/>
        <v>285813.8</v>
      </c>
      <c r="J28" s="123"/>
      <c r="K28" s="14"/>
      <c r="S28" s="10"/>
    </row>
    <row r="29" spans="2:26" x14ac:dyDescent="0.35">
      <c r="B29" s="124">
        <v>45747</v>
      </c>
      <c r="C29" s="226" t="s">
        <v>296</v>
      </c>
      <c r="D29" s="126">
        <v>62000</v>
      </c>
      <c r="E29" s="127">
        <v>355253.8</v>
      </c>
      <c r="F29" s="127">
        <f>IFERROR(D29*VLOOKUP(B29,'ANP Diesel'!$B$8:$E$20,4,0),0)</f>
        <v>69440</v>
      </c>
      <c r="G29" s="127">
        <f t="shared" si="14"/>
        <v>69440</v>
      </c>
      <c r="H29" s="125">
        <f t="shared" si="15"/>
        <v>0</v>
      </c>
      <c r="I29" s="127">
        <f t="shared" si="16"/>
        <v>285813.8</v>
      </c>
      <c r="J29" s="123"/>
      <c r="K29" s="14"/>
      <c r="S29" s="10"/>
    </row>
    <row r="30" spans="2:26" x14ac:dyDescent="0.35">
      <c r="B30" s="124">
        <v>45747</v>
      </c>
      <c r="C30" s="226" t="s">
        <v>297</v>
      </c>
      <c r="D30" s="126">
        <v>64000</v>
      </c>
      <c r="E30" s="127">
        <v>366713.59999999998</v>
      </c>
      <c r="F30" s="127">
        <f>IFERROR(D30*VLOOKUP(B30,'ANP Diesel'!$B$8:$E$20,4,0),0)</f>
        <v>71680</v>
      </c>
      <c r="G30" s="127">
        <f t="shared" si="14"/>
        <v>71680</v>
      </c>
      <c r="H30" s="125">
        <f t="shared" si="15"/>
        <v>0</v>
      </c>
      <c r="I30" s="127">
        <f t="shared" si="16"/>
        <v>295033.59999999998</v>
      </c>
      <c r="J30" s="123"/>
      <c r="K30" s="14"/>
      <c r="S30" s="10"/>
    </row>
    <row r="31" spans="2:26" x14ac:dyDescent="0.35">
      <c r="B31" s="124">
        <v>45747</v>
      </c>
      <c r="C31" s="226" t="s">
        <v>298</v>
      </c>
      <c r="D31" s="126">
        <v>64000</v>
      </c>
      <c r="E31" s="127">
        <v>366713.59999999998</v>
      </c>
      <c r="F31" s="127">
        <f>IFERROR(D31*VLOOKUP(B31,'ANP Diesel'!$B$8:$E$20,4,0),0)</f>
        <v>71680</v>
      </c>
      <c r="G31" s="127">
        <f t="shared" si="14"/>
        <v>71680</v>
      </c>
      <c r="H31" s="125">
        <f t="shared" si="15"/>
        <v>0</v>
      </c>
      <c r="I31" s="127">
        <f t="shared" si="16"/>
        <v>295033.59999999998</v>
      </c>
      <c r="J31" s="123"/>
      <c r="K31" s="14"/>
      <c r="S31" s="10"/>
    </row>
    <row r="32" spans="2:26" x14ac:dyDescent="0.35">
      <c r="B32" s="124">
        <v>45747</v>
      </c>
      <c r="C32" s="82" t="s">
        <v>89</v>
      </c>
      <c r="D32" s="101">
        <f t="shared" ref="D32:E32" si="17">SUM(D26:D31)</f>
        <v>378000</v>
      </c>
      <c r="E32" s="101">
        <f t="shared" si="17"/>
        <v>2165902.2000000002</v>
      </c>
      <c r="F32" s="101">
        <f>SUM(F26:F31)</f>
        <v>423360</v>
      </c>
      <c r="G32" s="101">
        <f>SUM(G26:G31)</f>
        <v>423360</v>
      </c>
      <c r="H32" s="128">
        <f t="shared" ref="H32" si="18">SUM(H26:H27)</f>
        <v>0</v>
      </c>
      <c r="I32" s="102">
        <f>SUM(I26:I31)</f>
        <v>1742542.2000000002</v>
      </c>
      <c r="J32" s="123">
        <v>43864</v>
      </c>
      <c r="K32" s="14">
        <v>43838</v>
      </c>
      <c r="L32" s="34" t="e">
        <f>IF("SIM"=M32,I10,IF(K32&gt;J32,I10,IF(K32&gt;J19,#REF!,L19)))</f>
        <v>#REF!</v>
      </c>
      <c r="M32" s="35"/>
      <c r="S32" s="10"/>
    </row>
    <row r="33" spans="2:23" x14ac:dyDescent="0.35">
      <c r="B33" s="103">
        <v>45717</v>
      </c>
      <c r="C33" s="104" t="s">
        <v>74</v>
      </c>
      <c r="D33" s="104"/>
      <c r="E33" s="104"/>
      <c r="F33" s="104"/>
      <c r="G33" s="104"/>
      <c r="H33" s="103"/>
      <c r="I33" s="105">
        <f>IFERROR(I32/D32,0)</f>
        <v>4.6099000000000006</v>
      </c>
      <c r="J33" s="123">
        <v>43893</v>
      </c>
      <c r="K33" s="14">
        <v>43868</v>
      </c>
      <c r="S33" s="10"/>
    </row>
    <row r="34" spans="2:23" x14ac:dyDescent="0.35">
      <c r="B34" s="197" t="s">
        <v>262</v>
      </c>
      <c r="C34" s="226" t="s">
        <v>366</v>
      </c>
      <c r="D34" s="126">
        <v>62000</v>
      </c>
      <c r="E34" s="127">
        <v>345960</v>
      </c>
      <c r="F34" s="127">
        <f>IFERROR(D34*VLOOKUP(B34,'ANP Diesel'!$B$8:$E$20,4,0),0)</f>
        <v>0</v>
      </c>
      <c r="G34" s="127">
        <v>69440</v>
      </c>
      <c r="H34" s="125">
        <f t="shared" ref="H34:H38" si="19">F34*0</f>
        <v>0</v>
      </c>
      <c r="I34" s="127">
        <f>E34-G34-H34</f>
        <v>276520</v>
      </c>
      <c r="J34" s="123"/>
      <c r="K34" s="14"/>
    </row>
    <row r="35" spans="2:23" x14ac:dyDescent="0.35">
      <c r="B35" s="197" t="s">
        <v>262</v>
      </c>
      <c r="C35" s="226" t="s">
        <v>367</v>
      </c>
      <c r="D35" s="126">
        <v>62000</v>
      </c>
      <c r="E35" s="127">
        <v>345960</v>
      </c>
      <c r="F35" s="127">
        <f>IFERROR(D35*VLOOKUP(B35,'ANP Diesel'!$B$8:$E$20,4,0),0)</f>
        <v>0</v>
      </c>
      <c r="G35" s="127">
        <v>69440</v>
      </c>
      <c r="H35" s="125">
        <f t="shared" si="19"/>
        <v>0</v>
      </c>
      <c r="I35" s="127">
        <f t="shared" ref="I35:I38" si="20">E35-G35-H35</f>
        <v>276520</v>
      </c>
      <c r="J35" s="123"/>
      <c r="K35" s="14"/>
    </row>
    <row r="36" spans="2:23" x14ac:dyDescent="0.35">
      <c r="B36" s="197" t="s">
        <v>262</v>
      </c>
      <c r="C36" s="226" t="s">
        <v>368</v>
      </c>
      <c r="D36" s="126">
        <v>62000</v>
      </c>
      <c r="E36" s="127">
        <v>345960</v>
      </c>
      <c r="F36" s="127">
        <f>IFERROR(D36*VLOOKUP(B36,'ANP Diesel'!$B$8:$E$20,4,0),0)</f>
        <v>0</v>
      </c>
      <c r="G36" s="127">
        <v>69440</v>
      </c>
      <c r="H36" s="125">
        <f t="shared" si="19"/>
        <v>0</v>
      </c>
      <c r="I36" s="127">
        <f t="shared" si="20"/>
        <v>276520</v>
      </c>
      <c r="J36" s="123"/>
      <c r="K36" s="14"/>
    </row>
    <row r="37" spans="2:23" x14ac:dyDescent="0.35">
      <c r="B37" s="197" t="s">
        <v>262</v>
      </c>
      <c r="C37" s="226" t="s">
        <v>369</v>
      </c>
      <c r="D37" s="126">
        <v>62000</v>
      </c>
      <c r="E37" s="127">
        <v>345960</v>
      </c>
      <c r="F37" s="127">
        <f>IFERROR(D37*VLOOKUP(B37,'ANP Diesel'!$B$8:$E$20,4,0),0)</f>
        <v>0</v>
      </c>
      <c r="G37" s="127">
        <v>69440</v>
      </c>
      <c r="H37" s="125">
        <f t="shared" si="19"/>
        <v>0</v>
      </c>
      <c r="I37" s="127">
        <f t="shared" si="20"/>
        <v>276520</v>
      </c>
      <c r="J37" s="123"/>
      <c r="K37" s="14"/>
    </row>
    <row r="38" spans="2:23" x14ac:dyDescent="0.35">
      <c r="B38" s="197" t="s">
        <v>262</v>
      </c>
      <c r="C38" s="226" t="s">
        <v>370</v>
      </c>
      <c r="D38" s="126">
        <v>62000</v>
      </c>
      <c r="E38" s="127">
        <v>345960</v>
      </c>
      <c r="F38" s="127">
        <f>IFERROR(D38*VLOOKUP(B38,'ANP Diesel'!$B$8:$E$20,4,0),0)</f>
        <v>0</v>
      </c>
      <c r="G38" s="127">
        <v>69440</v>
      </c>
      <c r="H38" s="125">
        <f t="shared" si="19"/>
        <v>0</v>
      </c>
      <c r="I38" s="127">
        <f t="shared" si="20"/>
        <v>276520</v>
      </c>
      <c r="J38" s="123">
        <v>43901</v>
      </c>
      <c r="K38" s="14">
        <v>43896</v>
      </c>
    </row>
    <row r="39" spans="2:23" ht="15" customHeight="1" x14ac:dyDescent="0.35">
      <c r="B39" s="197" t="s">
        <v>262</v>
      </c>
      <c r="C39" s="82" t="s">
        <v>73</v>
      </c>
      <c r="D39" s="101">
        <f t="shared" ref="D39:I39" si="21">SUM(D34:D38)</f>
        <v>310000</v>
      </c>
      <c r="E39" s="101">
        <f>SUM(E34:E38)</f>
        <v>1729800</v>
      </c>
      <c r="F39" s="101">
        <f t="shared" si="21"/>
        <v>0</v>
      </c>
      <c r="G39" s="101">
        <f>SUM(G34:G38)</f>
        <v>347200</v>
      </c>
      <c r="H39" s="128">
        <f t="shared" si="21"/>
        <v>0</v>
      </c>
      <c r="I39" s="102">
        <f t="shared" si="21"/>
        <v>1382600</v>
      </c>
      <c r="U39" s="10"/>
      <c r="W39" s="21"/>
    </row>
    <row r="40" spans="2:23" ht="15" customHeight="1" x14ac:dyDescent="0.35">
      <c r="B40" s="103">
        <v>45748</v>
      </c>
      <c r="C40" s="104" t="s">
        <v>74</v>
      </c>
      <c r="D40" s="104"/>
      <c r="E40" s="104"/>
      <c r="F40" s="104"/>
      <c r="G40" s="104"/>
      <c r="H40" s="103"/>
      <c r="I40" s="105">
        <f>IFERROR(I39/D39,0)</f>
        <v>4.46</v>
      </c>
      <c r="U40" s="10"/>
      <c r="W40" s="21"/>
    </row>
    <row r="41" spans="2:23" ht="15" customHeight="1" x14ac:dyDescent="0.35">
      <c r="B41" s="197" t="s">
        <v>263</v>
      </c>
      <c r="C41" s="125">
        <v>317323</v>
      </c>
      <c r="D41" s="126">
        <v>64000</v>
      </c>
      <c r="E41" s="127">
        <v>341120</v>
      </c>
      <c r="F41" s="127">
        <f>IFERROR(D41*VLOOKUP(B41,'ANP Diesel'!$B$8:$E$20,4,0),0)</f>
        <v>0</v>
      </c>
      <c r="G41" s="127">
        <v>71680</v>
      </c>
      <c r="H41" s="125">
        <f t="shared" ref="H41:H42" si="22">F41*0</f>
        <v>0</v>
      </c>
      <c r="I41" s="127">
        <f t="shared" ref="I41:I42" si="23">E41-G41-H41</f>
        <v>269440</v>
      </c>
      <c r="U41" s="10"/>
      <c r="W41" s="21"/>
    </row>
    <row r="42" spans="2:23" ht="15" customHeight="1" x14ac:dyDescent="0.35">
      <c r="B42" s="197" t="s">
        <v>263</v>
      </c>
      <c r="C42" s="125">
        <v>316941</v>
      </c>
      <c r="D42" s="126">
        <v>64000</v>
      </c>
      <c r="E42" s="127">
        <v>341120</v>
      </c>
      <c r="F42" s="127">
        <f>IFERROR(D42*VLOOKUP(B42,'ANP Diesel'!$B$8:$E$20,4,0),0)</f>
        <v>0</v>
      </c>
      <c r="G42" s="127">
        <v>71680</v>
      </c>
      <c r="H42" s="125">
        <f t="shared" si="22"/>
        <v>0</v>
      </c>
      <c r="I42" s="127">
        <f t="shared" si="23"/>
        <v>269440</v>
      </c>
      <c r="U42" s="10"/>
      <c r="W42" s="21"/>
    </row>
    <row r="43" spans="2:23" ht="15" customHeight="1" x14ac:dyDescent="0.35">
      <c r="B43" s="197" t="s">
        <v>263</v>
      </c>
      <c r="C43" s="125">
        <v>316856</v>
      </c>
      <c r="D43" s="126">
        <v>62000</v>
      </c>
      <c r="E43" s="127">
        <v>330460</v>
      </c>
      <c r="F43" s="127">
        <f>IFERROR(D43*VLOOKUP(B43,'ANP Diesel'!$B$8:$E$20,4,0),0)</f>
        <v>0</v>
      </c>
      <c r="G43" s="127">
        <v>69440</v>
      </c>
      <c r="H43" s="125">
        <f t="shared" ref="H43:H46" si="24">F43*0</f>
        <v>0</v>
      </c>
      <c r="I43" s="127">
        <f t="shared" ref="I43:I46" si="25">E43-G43-H43</f>
        <v>261020</v>
      </c>
      <c r="U43" s="10"/>
      <c r="W43" s="21"/>
    </row>
    <row r="44" spans="2:23" ht="15" customHeight="1" x14ac:dyDescent="0.35">
      <c r="B44" s="197" t="s">
        <v>263</v>
      </c>
      <c r="C44" s="125">
        <v>317478</v>
      </c>
      <c r="D44" s="126">
        <v>64000</v>
      </c>
      <c r="E44" s="127">
        <v>341120</v>
      </c>
      <c r="F44" s="127">
        <f>IFERROR(D44*VLOOKUP(B44,'ANP Diesel'!$B$8:$E$20,4,0),0)</f>
        <v>0</v>
      </c>
      <c r="G44" s="127">
        <v>71680</v>
      </c>
      <c r="H44" s="125">
        <f t="shared" si="24"/>
        <v>0</v>
      </c>
      <c r="I44" s="127">
        <f t="shared" si="25"/>
        <v>269440</v>
      </c>
      <c r="U44" s="10"/>
      <c r="W44" s="21"/>
    </row>
    <row r="45" spans="2:23" ht="15" customHeight="1" x14ac:dyDescent="0.35">
      <c r="B45" s="197" t="s">
        <v>263</v>
      </c>
      <c r="C45" s="125">
        <v>317156</v>
      </c>
      <c r="D45" s="126">
        <v>64000</v>
      </c>
      <c r="E45" s="127">
        <v>341120</v>
      </c>
      <c r="F45" s="127">
        <f>IFERROR(D45*VLOOKUP(B45,'ANP Diesel'!$B$8:$E$20,4,0),0)</f>
        <v>0</v>
      </c>
      <c r="G45" s="127">
        <v>71680</v>
      </c>
      <c r="H45" s="125">
        <f t="shared" si="24"/>
        <v>0</v>
      </c>
      <c r="I45" s="127">
        <f t="shared" si="25"/>
        <v>269440</v>
      </c>
      <c r="U45" s="10"/>
      <c r="W45" s="21"/>
    </row>
    <row r="46" spans="2:23" ht="15" customHeight="1" x14ac:dyDescent="0.35">
      <c r="B46" s="197" t="s">
        <v>263</v>
      </c>
      <c r="C46" s="125">
        <v>317102</v>
      </c>
      <c r="D46" s="126">
        <v>62000</v>
      </c>
      <c r="E46" s="127">
        <v>330460</v>
      </c>
      <c r="F46" s="127">
        <f>IFERROR(D46*VLOOKUP(B46,'ANP Diesel'!$B$8:$E$20,4,0),0)</f>
        <v>0</v>
      </c>
      <c r="G46" s="127">
        <v>69440</v>
      </c>
      <c r="H46" s="125">
        <f t="shared" si="24"/>
        <v>0</v>
      </c>
      <c r="I46" s="127">
        <f t="shared" si="25"/>
        <v>261020</v>
      </c>
      <c r="U46" s="10"/>
      <c r="W46" s="21"/>
    </row>
    <row r="47" spans="2:23" ht="15" customHeight="1" x14ac:dyDescent="0.35">
      <c r="B47" s="197" t="s">
        <v>263</v>
      </c>
      <c r="C47" s="125">
        <v>316807</v>
      </c>
      <c r="D47" s="126">
        <v>62000</v>
      </c>
      <c r="E47" s="127">
        <v>330460</v>
      </c>
      <c r="F47" s="127">
        <f>IFERROR(D47*VLOOKUP(B47,'ANP Diesel'!$B$8:$E$20,4,0),0)</f>
        <v>0</v>
      </c>
      <c r="G47" s="127">
        <v>69440</v>
      </c>
      <c r="H47" s="125">
        <f t="shared" ref="H47:H48" si="26">F47*0</f>
        <v>0</v>
      </c>
      <c r="I47" s="127">
        <f t="shared" ref="I47:I48" si="27">E47-G47-H47</f>
        <v>261020</v>
      </c>
      <c r="U47" s="10"/>
      <c r="W47" s="21"/>
    </row>
    <row r="48" spans="2:23" ht="15" customHeight="1" x14ac:dyDescent="0.35">
      <c r="B48" s="197" t="s">
        <v>263</v>
      </c>
      <c r="C48" s="125">
        <v>317035</v>
      </c>
      <c r="D48" s="126">
        <v>62000</v>
      </c>
      <c r="E48" s="127">
        <v>330460</v>
      </c>
      <c r="F48" s="127">
        <f>IFERROR(D48*VLOOKUP(B48,'ANP Diesel'!$B$8:$E$20,4,0),0)</f>
        <v>0</v>
      </c>
      <c r="G48" s="127">
        <v>69440</v>
      </c>
      <c r="H48" s="125">
        <f t="shared" si="26"/>
        <v>0</v>
      </c>
      <c r="I48" s="127">
        <f t="shared" si="27"/>
        <v>261020</v>
      </c>
      <c r="U48" s="10"/>
      <c r="W48" s="21"/>
    </row>
    <row r="49" spans="2:23" ht="15" customHeight="1" x14ac:dyDescent="0.35">
      <c r="B49" s="197" t="s">
        <v>263</v>
      </c>
      <c r="C49" s="125">
        <v>316888</v>
      </c>
      <c r="D49" s="126">
        <v>64000</v>
      </c>
      <c r="E49" s="127">
        <v>341120</v>
      </c>
      <c r="F49" s="127">
        <f>IFERROR(D49*VLOOKUP(B49,'ANP Diesel'!$B$8:$E$20,4,0),0)</f>
        <v>0</v>
      </c>
      <c r="G49" s="127">
        <v>71680</v>
      </c>
      <c r="H49" s="125">
        <f t="shared" ref="H49:H50" si="28">F49*0</f>
        <v>0</v>
      </c>
      <c r="I49" s="127">
        <f t="shared" ref="I49:I50" si="29">E49-G49-H49</f>
        <v>269440</v>
      </c>
      <c r="U49" s="10"/>
      <c r="W49" s="21"/>
    </row>
    <row r="50" spans="2:23" ht="15" customHeight="1" x14ac:dyDescent="0.35">
      <c r="B50" s="197" t="s">
        <v>263</v>
      </c>
      <c r="C50" s="125">
        <v>316942</v>
      </c>
      <c r="D50" s="126">
        <v>62000</v>
      </c>
      <c r="E50" s="127">
        <v>330460</v>
      </c>
      <c r="F50" s="127">
        <f>IFERROR(D50*VLOOKUP(B50,'ANP Diesel'!$B$8:$E$20,4,0),0)</f>
        <v>0</v>
      </c>
      <c r="G50" s="127">
        <v>69440</v>
      </c>
      <c r="H50" s="125">
        <f t="shared" si="28"/>
        <v>0</v>
      </c>
      <c r="I50" s="127">
        <f t="shared" si="29"/>
        <v>261020</v>
      </c>
      <c r="U50" s="10"/>
      <c r="W50" s="21"/>
    </row>
    <row r="51" spans="2:23" ht="15" customHeight="1" x14ac:dyDescent="0.35">
      <c r="B51" s="197" t="s">
        <v>371</v>
      </c>
      <c r="C51" s="82" t="s">
        <v>73</v>
      </c>
      <c r="D51" s="102">
        <f>SUM(D41:D50)</f>
        <v>630000</v>
      </c>
      <c r="E51" s="102">
        <f>SUM(E41:E50)</f>
        <v>3357900</v>
      </c>
      <c r="F51" s="102">
        <f t="shared" ref="F51:H51" si="30">SUM(F49:F50)</f>
        <v>0</v>
      </c>
      <c r="G51" s="102">
        <f>SUM(G41:G50)</f>
        <v>705600</v>
      </c>
      <c r="H51" s="128">
        <f t="shared" si="30"/>
        <v>0</v>
      </c>
      <c r="I51" s="102">
        <f>SUM(I41:R50)</f>
        <v>2652300</v>
      </c>
      <c r="U51" s="10"/>
      <c r="W51" s="21"/>
    </row>
    <row r="52" spans="2:23" ht="15" customHeight="1" x14ac:dyDescent="0.35">
      <c r="B52" s="103">
        <v>45778</v>
      </c>
      <c r="C52" s="104" t="s">
        <v>74</v>
      </c>
      <c r="D52" s="104"/>
      <c r="E52" s="104"/>
      <c r="F52" s="104"/>
      <c r="G52" s="104"/>
      <c r="H52" s="103"/>
      <c r="I52" s="130">
        <f>IFERROR(I51/D51,0)</f>
        <v>4.21</v>
      </c>
      <c r="U52" s="10"/>
      <c r="W52" s="21"/>
    </row>
    <row r="53" spans="2:23" ht="15" customHeight="1" x14ac:dyDescent="0.35">
      <c r="B53" s="197" t="s">
        <v>258</v>
      </c>
      <c r="C53" s="125">
        <v>319385</v>
      </c>
      <c r="D53" s="126">
        <v>64000</v>
      </c>
      <c r="E53" s="127">
        <v>341120</v>
      </c>
      <c r="F53" s="127">
        <f>IFERROR(D53*VLOOKUP(B53,'ANP Diesel'!$B$8:$E$20,4,0),0)</f>
        <v>0</v>
      </c>
      <c r="G53" s="127">
        <v>71680</v>
      </c>
      <c r="H53" s="125">
        <f t="shared" ref="H53:H57" si="31">F53*0</f>
        <v>0</v>
      </c>
      <c r="I53" s="127">
        <f t="shared" ref="I53:I57" si="32">E53-G53-H53</f>
        <v>269440</v>
      </c>
      <c r="U53" s="10"/>
      <c r="W53" s="21"/>
    </row>
    <row r="54" spans="2:23" x14ac:dyDescent="0.35">
      <c r="B54" s="197" t="s">
        <v>258</v>
      </c>
      <c r="C54" s="125">
        <v>318640</v>
      </c>
      <c r="D54" s="126">
        <v>64000</v>
      </c>
      <c r="E54" s="127">
        <v>341120</v>
      </c>
      <c r="F54" s="127">
        <f>IFERROR(D54*VLOOKUP(B54,'ANP Diesel'!$B$8:$E$20,4,0),0)</f>
        <v>0</v>
      </c>
      <c r="G54" s="127">
        <v>71680</v>
      </c>
      <c r="H54" s="125">
        <f t="shared" si="31"/>
        <v>0</v>
      </c>
      <c r="I54" s="127">
        <f t="shared" si="32"/>
        <v>269440</v>
      </c>
    </row>
    <row r="55" spans="2:23" ht="15" customHeight="1" x14ac:dyDescent="0.35">
      <c r="B55" s="197" t="s">
        <v>258</v>
      </c>
      <c r="C55" s="125">
        <v>317785</v>
      </c>
      <c r="D55" s="126">
        <v>62000</v>
      </c>
      <c r="E55" s="127">
        <v>330460</v>
      </c>
      <c r="F55" s="127">
        <f>IFERROR(D55*VLOOKUP(B55,'ANP Diesel'!$B$8:$E$20,4,0),0)</f>
        <v>0</v>
      </c>
      <c r="G55" s="127">
        <v>69440</v>
      </c>
      <c r="H55" s="125">
        <f t="shared" si="31"/>
        <v>0</v>
      </c>
      <c r="I55" s="127">
        <f t="shared" si="32"/>
        <v>261020</v>
      </c>
      <c r="U55" s="10"/>
      <c r="W55" s="21"/>
    </row>
    <row r="56" spans="2:23" x14ac:dyDescent="0.35">
      <c r="B56" s="197" t="s">
        <v>258</v>
      </c>
      <c r="C56" s="125">
        <v>319240</v>
      </c>
      <c r="D56" s="126">
        <v>64000</v>
      </c>
      <c r="E56" s="127">
        <v>341120</v>
      </c>
      <c r="F56" s="127">
        <f>IFERROR(D56*VLOOKUP(B56,'ANP Diesel'!$B$8:$E$20,4,0),0)</f>
        <v>0</v>
      </c>
      <c r="G56" s="127">
        <v>71680</v>
      </c>
      <c r="H56" s="125">
        <f>F56*0</f>
        <v>0</v>
      </c>
      <c r="I56" s="127">
        <f>E56-G56-H56</f>
        <v>269440</v>
      </c>
    </row>
    <row r="57" spans="2:23" x14ac:dyDescent="0.35">
      <c r="B57" s="197" t="s">
        <v>258</v>
      </c>
      <c r="C57" s="125">
        <v>317943</v>
      </c>
      <c r="D57" s="126">
        <v>64000</v>
      </c>
      <c r="E57" s="127">
        <v>341120</v>
      </c>
      <c r="F57" s="127">
        <f>IFERROR(D57*VLOOKUP(B57,'ANP Diesel'!$B$8:$E$20,4,0),0)</f>
        <v>0</v>
      </c>
      <c r="G57" s="127">
        <v>71680</v>
      </c>
      <c r="H57" s="125">
        <f t="shared" si="31"/>
        <v>0</v>
      </c>
      <c r="I57" s="127">
        <f t="shared" si="32"/>
        <v>269440</v>
      </c>
    </row>
    <row r="58" spans="2:23" ht="15" customHeight="1" x14ac:dyDescent="0.35">
      <c r="B58" s="197" t="s">
        <v>258</v>
      </c>
      <c r="C58" s="125">
        <v>318221</v>
      </c>
      <c r="D58" s="126">
        <v>62000</v>
      </c>
      <c r="E58" s="127">
        <v>330460</v>
      </c>
      <c r="F58" s="127">
        <f>IFERROR(D58*VLOOKUP(B58,'ANP Diesel'!$B$8:$E$20,4,0),0)</f>
        <v>0</v>
      </c>
      <c r="G58" s="127">
        <v>69440</v>
      </c>
      <c r="H58" s="125">
        <f t="shared" ref="H58:H59" si="33">F58*0</f>
        <v>0</v>
      </c>
      <c r="I58" s="127">
        <f t="shared" ref="I58:I59" si="34">E58-G58-H58</f>
        <v>261020</v>
      </c>
      <c r="U58" s="10"/>
      <c r="W58" s="21"/>
    </row>
    <row r="59" spans="2:23" x14ac:dyDescent="0.35">
      <c r="B59" s="197" t="s">
        <v>258</v>
      </c>
      <c r="C59" s="125">
        <v>317687</v>
      </c>
      <c r="D59" s="126">
        <v>64000</v>
      </c>
      <c r="E59" s="127">
        <v>341120</v>
      </c>
      <c r="F59" s="127">
        <f>IFERROR(D59*VLOOKUP(B59,'ANP Diesel'!$B$8:$E$20,4,0),0)</f>
        <v>0</v>
      </c>
      <c r="G59" s="127">
        <v>71680</v>
      </c>
      <c r="H59" s="125">
        <f t="shared" si="33"/>
        <v>0</v>
      </c>
      <c r="I59" s="127">
        <f t="shared" si="34"/>
        <v>269440</v>
      </c>
    </row>
    <row r="60" spans="2:23" ht="15" customHeight="1" x14ac:dyDescent="0.35">
      <c r="B60" s="197" t="s">
        <v>258</v>
      </c>
      <c r="C60" s="125">
        <v>319305</v>
      </c>
      <c r="D60" s="126">
        <v>62000</v>
      </c>
      <c r="E60" s="127">
        <v>330460</v>
      </c>
      <c r="F60" s="127">
        <f>IFERROR(D60*VLOOKUP(B60,'ANP Diesel'!$B$8:$E$20,4,0),0)</f>
        <v>0</v>
      </c>
      <c r="G60" s="127">
        <v>69440</v>
      </c>
      <c r="H60" s="125">
        <f t="shared" ref="H60:H61" si="35">F60*0</f>
        <v>0</v>
      </c>
      <c r="I60" s="127">
        <f t="shared" ref="I60:I61" si="36">E60-G60-H60</f>
        <v>261020</v>
      </c>
      <c r="U60" s="10"/>
      <c r="W60" s="21"/>
    </row>
    <row r="61" spans="2:23" x14ac:dyDescent="0.35">
      <c r="B61" s="197" t="s">
        <v>258</v>
      </c>
      <c r="C61" s="125">
        <v>319505</v>
      </c>
      <c r="D61" s="126">
        <v>62000</v>
      </c>
      <c r="E61" s="127">
        <v>330460</v>
      </c>
      <c r="F61" s="127">
        <f>IFERROR(D61*VLOOKUP(B61,'ANP Diesel'!$B$8:$E$20,4,0),0)</f>
        <v>0</v>
      </c>
      <c r="G61" s="127">
        <v>69440</v>
      </c>
      <c r="H61" s="125">
        <f t="shared" si="35"/>
        <v>0</v>
      </c>
      <c r="I61" s="127">
        <f t="shared" si="36"/>
        <v>261020</v>
      </c>
    </row>
    <row r="62" spans="2:23" x14ac:dyDescent="0.35">
      <c r="B62" s="197" t="s">
        <v>258</v>
      </c>
      <c r="C62" s="82"/>
      <c r="D62" s="100">
        <f>SUM(D53:D61)</f>
        <v>568000</v>
      </c>
      <c r="E62" s="100">
        <f>SUM(E53:E61)</f>
        <v>3027440</v>
      </c>
      <c r="F62" s="100">
        <f>SUM(F53:F61)</f>
        <v>0</v>
      </c>
      <c r="G62" s="100">
        <f>SUM(G53:G61)</f>
        <v>636160</v>
      </c>
      <c r="H62" s="128">
        <f t="shared" ref="H62" si="37">SUM(H60:H61)</f>
        <v>0</v>
      </c>
      <c r="I62" s="100">
        <f>SUM(I53:I61)</f>
        <v>2391280</v>
      </c>
    </row>
    <row r="63" spans="2:23" x14ac:dyDescent="0.35">
      <c r="B63" s="103">
        <v>45809</v>
      </c>
      <c r="C63" s="104" t="s">
        <v>74</v>
      </c>
      <c r="D63" s="104"/>
      <c r="E63" s="104"/>
      <c r="F63" s="104"/>
      <c r="G63" s="104"/>
      <c r="H63" s="103"/>
      <c r="I63" s="130">
        <f>IFERROR(I62/D62,0)</f>
        <v>4.21</v>
      </c>
    </row>
    <row r="64" spans="2:23" x14ac:dyDescent="0.35">
      <c r="B64" s="124">
        <v>45869</v>
      </c>
      <c r="C64" s="125">
        <v>321785</v>
      </c>
      <c r="D64" s="126">
        <v>62000</v>
      </c>
      <c r="E64" s="127">
        <v>330460</v>
      </c>
      <c r="F64" s="127">
        <f>IFERROR(D64*VLOOKUP(B64,'ANP Diesel'!$B$8:$E$20,4,0),0)</f>
        <v>0</v>
      </c>
      <c r="G64" s="127">
        <v>69440</v>
      </c>
      <c r="H64" s="125">
        <f t="shared" ref="H64:H66" si="38">F64*0</f>
        <v>0</v>
      </c>
      <c r="I64" s="127">
        <f>E64-G64-H64</f>
        <v>261020</v>
      </c>
    </row>
    <row r="65" spans="2:13" x14ac:dyDescent="0.35">
      <c r="B65" s="124">
        <v>45869</v>
      </c>
      <c r="C65" s="125">
        <v>319851</v>
      </c>
      <c r="D65" s="126">
        <v>62000</v>
      </c>
      <c r="E65" s="127">
        <v>330460</v>
      </c>
      <c r="F65" s="127">
        <f>IFERROR(D65*VLOOKUP(B65,'ANP Diesel'!$B$8:$E$20,4,0),0)</f>
        <v>0</v>
      </c>
      <c r="G65" s="127">
        <v>69440</v>
      </c>
      <c r="H65" s="125">
        <f t="shared" si="38"/>
        <v>0</v>
      </c>
      <c r="I65" s="127">
        <f>E65-G65-H65</f>
        <v>261020</v>
      </c>
    </row>
    <row r="66" spans="2:13" x14ac:dyDescent="0.35">
      <c r="B66" s="124">
        <v>45869</v>
      </c>
      <c r="C66" s="125">
        <v>320101</v>
      </c>
      <c r="D66" s="126">
        <v>62000</v>
      </c>
      <c r="E66" s="127">
        <v>330460</v>
      </c>
      <c r="F66" s="127">
        <f>IFERROR(D66*VLOOKUP(B66,'ANP Diesel'!$B$8:$E$20,4,0),0)</f>
        <v>0</v>
      </c>
      <c r="G66" s="127">
        <v>69440</v>
      </c>
      <c r="H66" s="125">
        <f t="shared" si="38"/>
        <v>0</v>
      </c>
      <c r="I66" s="127">
        <f t="shared" ref="I66" si="39">E66-G66-H66</f>
        <v>261020</v>
      </c>
    </row>
    <row r="67" spans="2:13" x14ac:dyDescent="0.35">
      <c r="B67" s="124">
        <v>45869</v>
      </c>
      <c r="C67" s="125">
        <v>321264</v>
      </c>
      <c r="D67" s="126">
        <v>62000</v>
      </c>
      <c r="E67" s="127">
        <v>330460</v>
      </c>
      <c r="F67" s="127">
        <f>IFERROR(D67*VLOOKUP(B67,'ANP Diesel'!$B$8:$E$20,4,0),0)</f>
        <v>0</v>
      </c>
      <c r="G67" s="127">
        <v>69440</v>
      </c>
      <c r="H67" s="125">
        <f t="shared" ref="H67:H68" si="40">F67*0</f>
        <v>0</v>
      </c>
      <c r="I67" s="127">
        <f t="shared" ref="I67:I68" si="41">E67-G67-H67</f>
        <v>261020</v>
      </c>
    </row>
    <row r="68" spans="2:13" x14ac:dyDescent="0.35">
      <c r="B68" s="124">
        <v>45869</v>
      </c>
      <c r="C68" s="125">
        <v>319595</v>
      </c>
      <c r="D68" s="126">
        <v>64000</v>
      </c>
      <c r="E68" s="127">
        <v>341120</v>
      </c>
      <c r="F68" s="127">
        <f>IFERROR(D68*VLOOKUP(B68,'ANP Diesel'!$B$8:$E$20,4,0),0)</f>
        <v>0</v>
      </c>
      <c r="G68" s="127">
        <v>71680</v>
      </c>
      <c r="H68" s="125">
        <f t="shared" si="40"/>
        <v>0</v>
      </c>
      <c r="I68" s="127">
        <f t="shared" si="41"/>
        <v>269440</v>
      </c>
    </row>
    <row r="69" spans="2:13" x14ac:dyDescent="0.35">
      <c r="B69" s="124">
        <v>45869</v>
      </c>
      <c r="C69" s="82" t="s">
        <v>73</v>
      </c>
      <c r="D69" s="100">
        <f>SUM(D64:D68)</f>
        <v>312000</v>
      </c>
      <c r="E69" s="102">
        <f>SUM(E64:E68)</f>
        <v>1662960</v>
      </c>
      <c r="F69" s="101">
        <f t="shared" ref="F69:H69" si="42">SUM(F67:F68)</f>
        <v>0</v>
      </c>
      <c r="G69" s="101">
        <f>SUM(G64:G68)</f>
        <v>349440</v>
      </c>
      <c r="H69" s="128">
        <f t="shared" si="42"/>
        <v>0</v>
      </c>
      <c r="I69" s="102">
        <f>SUM(I64:R68)</f>
        <v>1313520</v>
      </c>
    </row>
    <row r="70" spans="2:13" x14ac:dyDescent="0.35">
      <c r="B70" s="103">
        <v>45839</v>
      </c>
      <c r="C70" s="104" t="s">
        <v>74</v>
      </c>
      <c r="D70" s="104"/>
      <c r="E70" s="104"/>
      <c r="F70" s="104"/>
      <c r="G70" s="104"/>
      <c r="H70" s="103"/>
      <c r="I70" s="105">
        <f>ROUND(IFERROR(I69/D69,0),6)</f>
        <v>4.21</v>
      </c>
    </row>
    <row r="71" spans="2:13" x14ac:dyDescent="0.35">
      <c r="B71" s="124">
        <v>45900</v>
      </c>
      <c r="C71" s="125">
        <v>323381</v>
      </c>
      <c r="D71" s="126">
        <v>62000</v>
      </c>
      <c r="E71" s="127">
        <v>325500</v>
      </c>
      <c r="F71" s="127">
        <f>IFERROR(D71*VLOOKUP(B71,'ANP Diesel'!$B$8:$E$20,4,0),0)</f>
        <v>0</v>
      </c>
      <c r="G71" s="127">
        <v>69440</v>
      </c>
      <c r="H71" s="125">
        <f>F71*0</f>
        <v>0</v>
      </c>
      <c r="I71" s="127">
        <f>E71-G71-H71</f>
        <v>256060</v>
      </c>
    </row>
    <row r="72" spans="2:13" x14ac:dyDescent="0.35">
      <c r="B72" s="124">
        <v>45900</v>
      </c>
      <c r="C72" s="125">
        <v>322692</v>
      </c>
      <c r="D72" s="126">
        <v>62000</v>
      </c>
      <c r="E72" s="127">
        <v>330460</v>
      </c>
      <c r="F72" s="127">
        <f>IFERROR(D72*VLOOKUP(B72,'ANP Diesel'!$B$8:$E$20,4,0),0)</f>
        <v>0</v>
      </c>
      <c r="G72" s="127">
        <v>69440</v>
      </c>
      <c r="H72" s="125">
        <f t="shared" ref="H72" si="43">F72*0</f>
        <v>0</v>
      </c>
      <c r="I72" s="127">
        <f t="shared" ref="I72" si="44">E72-G72-H72</f>
        <v>261020</v>
      </c>
    </row>
    <row r="73" spans="2:13" x14ac:dyDescent="0.35">
      <c r="B73" s="124">
        <v>45900</v>
      </c>
      <c r="C73" s="125">
        <v>323291</v>
      </c>
      <c r="D73" s="126">
        <v>62000</v>
      </c>
      <c r="E73" s="127">
        <v>325500</v>
      </c>
      <c r="F73" s="127">
        <f>IFERROR(D73*VLOOKUP(B73,'ANP Diesel'!$B$8:$E$20,4,0),0)</f>
        <v>0</v>
      </c>
      <c r="G73" s="127">
        <v>69440</v>
      </c>
      <c r="H73" s="125">
        <f>F73*0</f>
        <v>0</v>
      </c>
      <c r="I73" s="127">
        <f>E73-G73-H73</f>
        <v>256060</v>
      </c>
    </row>
    <row r="74" spans="2:13" x14ac:dyDescent="0.35">
      <c r="B74" s="124">
        <v>45900</v>
      </c>
      <c r="C74" s="125">
        <v>322541</v>
      </c>
      <c r="D74" s="126">
        <v>72000</v>
      </c>
      <c r="E74" s="127">
        <v>383760</v>
      </c>
      <c r="F74" s="127">
        <f>IFERROR(D74*VLOOKUP(B74,'ANP Diesel'!$B$8:$E$20,4,0),0)</f>
        <v>0</v>
      </c>
      <c r="G74" s="127">
        <v>80640</v>
      </c>
      <c r="H74" s="125">
        <f t="shared" ref="H74" si="45">F74*0</f>
        <v>0</v>
      </c>
      <c r="I74" s="127">
        <f t="shared" ref="I74" si="46">E74-G74-H74</f>
        <v>303120</v>
      </c>
    </row>
    <row r="75" spans="2:13" x14ac:dyDescent="0.35">
      <c r="B75" s="124">
        <v>45900</v>
      </c>
      <c r="C75" s="82" t="s">
        <v>73</v>
      </c>
      <c r="D75" s="100">
        <f t="shared" ref="D75:I75" si="47">SUM(D71:D74)</f>
        <v>258000</v>
      </c>
      <c r="E75" s="100">
        <f t="shared" si="47"/>
        <v>1365220</v>
      </c>
      <c r="F75" s="101">
        <f t="shared" si="47"/>
        <v>0</v>
      </c>
      <c r="G75" s="101">
        <f t="shared" si="47"/>
        <v>288960</v>
      </c>
      <c r="H75" s="101">
        <f t="shared" si="47"/>
        <v>0</v>
      </c>
      <c r="I75" s="105">
        <f t="shared" si="47"/>
        <v>1076260</v>
      </c>
    </row>
    <row r="76" spans="2:13" x14ac:dyDescent="0.35">
      <c r="B76" s="103">
        <v>45870</v>
      </c>
      <c r="C76" s="104" t="s">
        <v>74</v>
      </c>
      <c r="D76" s="104"/>
      <c r="E76" s="104"/>
      <c r="F76" s="104"/>
      <c r="G76" s="104"/>
      <c r="H76" s="103"/>
      <c r="I76" s="105">
        <f>IFERROR(I75/D75,0)</f>
        <v>4.1715503875968993</v>
      </c>
    </row>
    <row r="77" spans="2:13" x14ac:dyDescent="0.35">
      <c r="B77" s="124">
        <v>45901</v>
      </c>
      <c r="C77" s="125"/>
      <c r="D77" s="126"/>
      <c r="E77" s="127"/>
      <c r="F77" s="127">
        <f>IFERROR(D77*VLOOKUP(B77,'ANP Diesel'!$B$8:$E$20,4,0),0)</f>
        <v>0</v>
      </c>
      <c r="G77" s="127"/>
      <c r="H77" s="125">
        <f>F77*0</f>
        <v>0</v>
      </c>
      <c r="I77" s="127">
        <f>E77-G77-H77</f>
        <v>0</v>
      </c>
    </row>
    <row r="78" spans="2:13" x14ac:dyDescent="0.35">
      <c r="B78" s="124">
        <v>45901</v>
      </c>
      <c r="C78" s="125"/>
      <c r="D78" s="126"/>
      <c r="E78" s="127"/>
      <c r="F78" s="127">
        <f>IFERROR(D78*VLOOKUP(B78,'ANP Diesel'!$B$8:$E$20,4,0),0)</f>
        <v>0</v>
      </c>
      <c r="G78" s="127"/>
      <c r="H78" s="125">
        <f t="shared" ref="H78" si="48">F78*0</f>
        <v>0</v>
      </c>
      <c r="I78" s="127">
        <f t="shared" ref="I78" si="49">E78-G78-H78</f>
        <v>0</v>
      </c>
    </row>
    <row r="79" spans="2:13" x14ac:dyDescent="0.35">
      <c r="B79" s="124">
        <v>45930</v>
      </c>
      <c r="C79" s="82" t="s">
        <v>73</v>
      </c>
      <c r="D79" s="100">
        <f>SUM(D77:D78)</f>
        <v>0</v>
      </c>
      <c r="E79" s="102">
        <f>SUM(E77:E78)</f>
        <v>0</v>
      </c>
      <c r="F79" s="101">
        <f>SUM(F77:F78)</f>
        <v>0</v>
      </c>
      <c r="G79" s="101">
        <f>SUM(G77:G78)</f>
        <v>0</v>
      </c>
      <c r="H79" s="128">
        <f>SUM(H77:H78)</f>
        <v>0</v>
      </c>
      <c r="I79" s="102">
        <f xml:space="preserve"> SUM(I77:I78)</f>
        <v>0</v>
      </c>
      <c r="J79" s="123" t="s">
        <v>138</v>
      </c>
      <c r="K79" s="14">
        <v>44111</v>
      </c>
      <c r="L79" s="34" t="e">
        <f>IF("SIM"=M79,I82,IF(K79&gt;J79,I82,IF(K79&gt;J78,#REF!,L78)))</f>
        <v>#REF!</v>
      </c>
      <c r="M79" s="35"/>
    </row>
    <row r="80" spans="2:13" x14ac:dyDescent="0.35">
      <c r="B80" s="103">
        <v>45901</v>
      </c>
      <c r="C80" s="104" t="s">
        <v>74</v>
      </c>
      <c r="D80" s="104"/>
      <c r="E80" s="104"/>
      <c r="F80" s="104"/>
      <c r="G80" s="104"/>
      <c r="H80" s="103"/>
      <c r="I80" s="105">
        <f>IFERROR(I79/D79,0)</f>
        <v>0</v>
      </c>
    </row>
    <row r="81" spans="2:13" x14ac:dyDescent="0.35">
      <c r="B81" s="124">
        <v>45960</v>
      </c>
      <c r="C81" s="125">
        <v>326675</v>
      </c>
      <c r="D81" s="126">
        <v>62000</v>
      </c>
      <c r="E81" s="127">
        <v>328600</v>
      </c>
      <c r="F81" s="127">
        <f>IFERROR(D81*VLOOKUP(B81,'ANP Diesel'!$B$8:$E$20,4,0),0)</f>
        <v>0</v>
      </c>
      <c r="G81" s="127">
        <v>69440</v>
      </c>
      <c r="H81" s="125">
        <v>0</v>
      </c>
      <c r="I81" s="127">
        <f>E81-G81-H81</f>
        <v>259160</v>
      </c>
      <c r="J81" s="123" t="s">
        <v>138</v>
      </c>
      <c r="K81" s="14">
        <v>44111</v>
      </c>
      <c r="L81" s="34" t="e">
        <f>IF("SIM"=M81,I77,IF(K81&gt;J81,I77,IF(K81&gt;#REF!,I70,#REF!)))</f>
        <v>#REF!</v>
      </c>
      <c r="M81" s="35"/>
    </row>
    <row r="82" spans="2:13" x14ac:dyDescent="0.35">
      <c r="B82" s="124">
        <v>45960</v>
      </c>
      <c r="C82" s="125">
        <v>326509</v>
      </c>
      <c r="D82" s="126">
        <v>62000</v>
      </c>
      <c r="E82" s="127">
        <v>328600</v>
      </c>
      <c r="F82" s="127">
        <f>IFERROR(D82*VLOOKUP(B82,'ANP Diesel'!$B$8:$E$20,4,0),0)</f>
        <v>0</v>
      </c>
      <c r="G82" s="127">
        <v>69440</v>
      </c>
      <c r="H82" s="125">
        <v>0</v>
      </c>
      <c r="I82" s="127">
        <f t="shared" ref="I82" si="50">E82-G82-H82</f>
        <v>259160</v>
      </c>
    </row>
    <row r="83" spans="2:13" x14ac:dyDescent="0.35">
      <c r="B83" s="124">
        <v>45960</v>
      </c>
      <c r="C83" s="125">
        <v>328563</v>
      </c>
      <c r="D83" s="126">
        <v>62000</v>
      </c>
      <c r="E83" s="127">
        <v>328600</v>
      </c>
      <c r="F83" s="127">
        <f>IFERROR(D83*VLOOKUP(B83,'ANP Diesel'!$B$8:$E$20,4,0),0)</f>
        <v>0</v>
      </c>
      <c r="G83" s="127">
        <v>69440</v>
      </c>
      <c r="H83" s="125">
        <v>0</v>
      </c>
      <c r="I83" s="127">
        <f>E83-G83-H83</f>
        <v>259160</v>
      </c>
      <c r="J83" s="123" t="s">
        <v>138</v>
      </c>
      <c r="K83" s="14">
        <v>44111</v>
      </c>
      <c r="L83" s="34" t="e">
        <f>IF("SIM"=M83,I79,IF(K83&gt;J83,I79,IF(K83&gt;#REF!,I72,#REF!)))</f>
        <v>#REF!</v>
      </c>
      <c r="M83" s="35"/>
    </row>
    <row r="84" spans="2:13" x14ac:dyDescent="0.35">
      <c r="B84" s="124">
        <v>45960</v>
      </c>
      <c r="C84" s="125">
        <v>327362</v>
      </c>
      <c r="D84" s="126">
        <v>62000</v>
      </c>
      <c r="E84" s="127">
        <v>328600</v>
      </c>
      <c r="F84" s="127">
        <f>IFERROR(D84*VLOOKUP(B84,'ANP Diesel'!$B$8:$E$20,4,0),0)</f>
        <v>0</v>
      </c>
      <c r="G84" s="127">
        <v>69440</v>
      </c>
      <c r="H84" s="125">
        <v>0</v>
      </c>
      <c r="I84" s="127">
        <f t="shared" ref="I84" si="51">E84-G84-H84</f>
        <v>259160</v>
      </c>
    </row>
    <row r="85" spans="2:13" x14ac:dyDescent="0.35">
      <c r="B85" s="124">
        <v>45960</v>
      </c>
      <c r="C85" s="125">
        <v>328007</v>
      </c>
      <c r="D85" s="126">
        <v>64000</v>
      </c>
      <c r="E85" s="127">
        <v>339200</v>
      </c>
      <c r="F85" s="127">
        <f>IFERROR(D85*VLOOKUP(B85,'ANP Diesel'!$B$8:$E$20,4,0),0)</f>
        <v>0</v>
      </c>
      <c r="G85" s="127">
        <v>71680</v>
      </c>
      <c r="H85" s="125">
        <v>0</v>
      </c>
      <c r="I85" s="127">
        <f>E85-G85-H85</f>
        <v>267520</v>
      </c>
      <c r="J85" s="123" t="s">
        <v>138</v>
      </c>
      <c r="K85" s="14">
        <v>44111</v>
      </c>
      <c r="L85" s="34" t="e">
        <f>IF("SIM"=M85,I81,IF(K85&gt;J85,I81,IF(K85&gt;#REF!,I74,#REF!)))</f>
        <v>#REF!</v>
      </c>
      <c r="M85" s="35"/>
    </row>
    <row r="86" spans="2:13" x14ac:dyDescent="0.35">
      <c r="B86" s="124">
        <v>45960</v>
      </c>
      <c r="C86" s="125">
        <v>327820</v>
      </c>
      <c r="D86" s="126">
        <v>62000</v>
      </c>
      <c r="E86" s="127">
        <v>328600</v>
      </c>
      <c r="F86" s="127">
        <f>IFERROR(D86*VLOOKUP(B86,'ANP Diesel'!$B$8:$E$20,4,0),0)</f>
        <v>0</v>
      </c>
      <c r="G86" s="127">
        <v>69440</v>
      </c>
      <c r="H86" s="125">
        <v>0</v>
      </c>
      <c r="I86" s="127">
        <f t="shared" ref="I86" si="52">E86-G86-H86</f>
        <v>259160</v>
      </c>
    </row>
    <row r="87" spans="2:13" x14ac:dyDescent="0.35">
      <c r="B87" s="124">
        <v>45960</v>
      </c>
      <c r="C87" s="82" t="s">
        <v>73</v>
      </c>
      <c r="D87" s="100">
        <f t="shared" ref="D87:H87" si="53">SUM(D81:D86)</f>
        <v>374000</v>
      </c>
      <c r="E87" s="100">
        <f>SUM(E81:E86)</f>
        <v>1982200</v>
      </c>
      <c r="F87" s="101">
        <f t="shared" si="53"/>
        <v>0</v>
      </c>
      <c r="G87" s="101">
        <f t="shared" si="53"/>
        <v>418880</v>
      </c>
      <c r="H87" s="128">
        <f t="shared" si="53"/>
        <v>0</v>
      </c>
      <c r="I87" s="102">
        <f>SUM(I81:I86)</f>
        <v>1563320</v>
      </c>
      <c r="J87" s="123" t="s">
        <v>138</v>
      </c>
      <c r="K87" s="14">
        <v>44111</v>
      </c>
      <c r="L87" s="34" t="e">
        <f>IF("SIM"=M87,#REF!,IF(K87&gt;J87,#REF!,IF(K87&gt;#REF!,I74,#REF!)))</f>
        <v>#REF!</v>
      </c>
      <c r="M87" s="35"/>
    </row>
    <row r="88" spans="2:13" x14ac:dyDescent="0.35">
      <c r="B88" s="103">
        <v>45931</v>
      </c>
      <c r="C88" s="104" t="s">
        <v>74</v>
      </c>
      <c r="D88" s="104"/>
      <c r="E88" s="104"/>
      <c r="F88" s="104"/>
      <c r="G88" s="104"/>
      <c r="H88" s="103"/>
      <c r="I88" s="105">
        <f>IFERROR(I87/D87,0)</f>
        <v>4.18</v>
      </c>
    </row>
    <row r="89" spans="2:13" x14ac:dyDescent="0.35">
      <c r="B89" s="124">
        <v>45991</v>
      </c>
      <c r="C89" s="125">
        <v>329819</v>
      </c>
      <c r="D89" s="126">
        <v>64000</v>
      </c>
      <c r="E89" s="127">
        <v>339200</v>
      </c>
      <c r="F89" s="127">
        <f>IFERROR(D89*VLOOKUP(B89,'ANP Diesel'!$B$8:$E$20,4,0),0)</f>
        <v>0</v>
      </c>
      <c r="G89" s="127">
        <v>71680</v>
      </c>
      <c r="H89" s="125">
        <f>F89*0</f>
        <v>0</v>
      </c>
      <c r="I89" s="127">
        <f>E89-G89-H89</f>
        <v>267520</v>
      </c>
      <c r="J89" s="123" t="s">
        <v>138</v>
      </c>
      <c r="K89" s="14">
        <v>44111</v>
      </c>
      <c r="L89" s="34" t="e">
        <f>IF("SIM"=M89,#REF!,IF(K89&gt;J89,#REF!,IF(K89&gt;J88,#REF!,L88)))</f>
        <v>#REF!</v>
      </c>
      <c r="M89" s="35"/>
    </row>
    <row r="90" spans="2:13" x14ac:dyDescent="0.35">
      <c r="B90" s="124">
        <v>45991</v>
      </c>
      <c r="C90" s="125">
        <v>328902</v>
      </c>
      <c r="D90" s="126">
        <v>64000</v>
      </c>
      <c r="E90" s="127">
        <v>339270.40000000002</v>
      </c>
      <c r="F90" s="127">
        <f>IFERROR(D90*VLOOKUP(B90,'ANP Diesel'!$B$8:$E$20,4,0),0)</f>
        <v>0</v>
      </c>
      <c r="G90" s="127">
        <v>71680</v>
      </c>
      <c r="H90" s="125">
        <f t="shared" ref="H90" si="54">F90*0</f>
        <v>0</v>
      </c>
      <c r="I90" s="127">
        <f>E90-G90-H90</f>
        <v>267590.40000000002</v>
      </c>
    </row>
    <row r="91" spans="2:13" x14ac:dyDescent="0.35">
      <c r="B91" s="124">
        <v>45991</v>
      </c>
      <c r="C91" s="125">
        <v>330061</v>
      </c>
      <c r="D91" s="126">
        <v>62000</v>
      </c>
      <c r="E91" s="127">
        <v>328600</v>
      </c>
      <c r="F91" s="127">
        <f>IFERROR(D91*VLOOKUP(B91,'ANP Diesel'!$B$8:$E$20,4,0),0)</f>
        <v>0</v>
      </c>
      <c r="G91" s="127">
        <v>69440</v>
      </c>
      <c r="H91" s="125">
        <f t="shared" ref="H91" si="55">F91*0</f>
        <v>0</v>
      </c>
      <c r="I91" s="127">
        <f>E91-G91-H91</f>
        <v>259160</v>
      </c>
    </row>
    <row r="92" spans="2:13" x14ac:dyDescent="0.35">
      <c r="B92" s="124">
        <v>45991</v>
      </c>
      <c r="C92" s="82" t="s">
        <v>73</v>
      </c>
      <c r="D92" s="100">
        <f>SUM(D89:D91)</f>
        <v>190000</v>
      </c>
      <c r="E92" s="100">
        <f>SUM(E89:E91)</f>
        <v>1007070.4</v>
      </c>
      <c r="F92" s="101">
        <f t="shared" ref="F92:H92" si="56">SUM(F89:F91)</f>
        <v>0</v>
      </c>
      <c r="G92" s="101">
        <f>SUM(G89:G91)</f>
        <v>212800</v>
      </c>
      <c r="H92" s="101">
        <f t="shared" si="56"/>
        <v>0</v>
      </c>
      <c r="I92" s="102">
        <f>SUM(I89:I91)</f>
        <v>794270.4</v>
      </c>
      <c r="J92" s="123" t="s">
        <v>138</v>
      </c>
      <c r="K92" s="14">
        <v>44111</v>
      </c>
      <c r="L92" s="34" t="e">
        <f>IF("SIM"=M92,I80,IF(K92&gt;J92,I80,IF(K92&gt;#REF!,I76,#REF!)))</f>
        <v>#REF!</v>
      </c>
      <c r="M92" s="35"/>
    </row>
    <row r="93" spans="2:13" x14ac:dyDescent="0.35">
      <c r="B93" s="103">
        <v>45962</v>
      </c>
      <c r="C93" s="104" t="s">
        <v>74</v>
      </c>
      <c r="D93" s="104"/>
      <c r="E93" s="104"/>
      <c r="F93" s="104"/>
      <c r="G93" s="104"/>
      <c r="H93" s="103"/>
      <c r="I93" s="105">
        <f>IFERROR(I92/D92,0)</f>
        <v>4.18037052631579</v>
      </c>
    </row>
    <row r="94" spans="2:13" x14ac:dyDescent="0.35">
      <c r="B94" s="124">
        <v>46022</v>
      </c>
      <c r="C94" s="125">
        <v>332453</v>
      </c>
      <c r="D94" s="126">
        <v>62000</v>
      </c>
      <c r="E94" s="127">
        <v>328600</v>
      </c>
      <c r="F94" s="127">
        <f>IFERROR(D94*VLOOKUP(B94,'ANP Diesel'!$B$8:$E$20,4,0),0)</f>
        <v>0</v>
      </c>
      <c r="G94" s="127">
        <v>69440</v>
      </c>
      <c r="H94" s="127">
        <f>F10380</f>
        <v>0</v>
      </c>
      <c r="I94" s="127">
        <f t="shared" ref="I94:I95" si="57">E94-G94-H94</f>
        <v>259160</v>
      </c>
      <c r="J94" s="123" t="s">
        <v>138</v>
      </c>
      <c r="K94" s="14">
        <v>44111</v>
      </c>
      <c r="L94" s="34">
        <f>IF("SIM"=M94,#REF!,IF(K94&gt;J94,#REF!,IF(K94&gt;J93,I78,L93)))</f>
        <v>0</v>
      </c>
      <c r="M94" s="35"/>
    </row>
    <row r="95" spans="2:13" x14ac:dyDescent="0.35">
      <c r="B95" s="124">
        <v>46022</v>
      </c>
      <c r="C95" s="125">
        <v>332573</v>
      </c>
      <c r="D95" s="126">
        <v>62000</v>
      </c>
      <c r="E95" s="127">
        <v>328600</v>
      </c>
      <c r="F95" s="127">
        <f>IFERROR(D95*VLOOKUP(B95,'ANP Diesel'!$B$8:$E$20,4,0),0)</f>
        <v>0</v>
      </c>
      <c r="G95" s="127">
        <v>69440</v>
      </c>
      <c r="H95" s="127">
        <f>F10381</f>
        <v>0</v>
      </c>
      <c r="I95" s="127">
        <f t="shared" si="57"/>
        <v>259160</v>
      </c>
    </row>
    <row r="96" spans="2:13" x14ac:dyDescent="0.35">
      <c r="B96" s="124">
        <v>46022</v>
      </c>
      <c r="C96" s="125">
        <v>332452</v>
      </c>
      <c r="D96" s="126">
        <v>62000</v>
      </c>
      <c r="E96" s="127">
        <v>328600</v>
      </c>
      <c r="F96" s="127">
        <f>IFERROR(D96*VLOOKUP(B96,'ANP Diesel'!$B$8:$E$20,4,0),0)</f>
        <v>0</v>
      </c>
      <c r="G96" s="127">
        <v>69440</v>
      </c>
      <c r="H96" s="127">
        <f>F10382</f>
        <v>0</v>
      </c>
      <c r="I96" s="127">
        <f t="shared" ref="I96:I98" si="58">E96-G96-H96</f>
        <v>259160</v>
      </c>
      <c r="J96" s="123" t="s">
        <v>138</v>
      </c>
      <c r="K96" s="14">
        <v>44111</v>
      </c>
      <c r="L96" s="34">
        <f>IF("SIM"=M96,#REF!,IF(K96&gt;J96,#REF!,IF(K96&gt;J95,I80,L95)))</f>
        <v>0</v>
      </c>
      <c r="M96" s="35"/>
    </row>
    <row r="97" spans="2:26" x14ac:dyDescent="0.35">
      <c r="B97" s="124">
        <v>46022</v>
      </c>
      <c r="C97" s="125">
        <v>332265</v>
      </c>
      <c r="D97" s="126">
        <v>62000</v>
      </c>
      <c r="E97" s="127">
        <v>328600</v>
      </c>
      <c r="F97" s="127">
        <f>IFERROR(D97*VLOOKUP(B97,'ANP Diesel'!$B$8:$E$20,4,0),0)</f>
        <v>0</v>
      </c>
      <c r="G97" s="127">
        <v>69440</v>
      </c>
      <c r="H97" s="127">
        <f>F10383</f>
        <v>0</v>
      </c>
      <c r="I97" s="127">
        <f t="shared" ref="I97" si="59">E97-G97-H97</f>
        <v>259160</v>
      </c>
      <c r="J97" s="123" t="s">
        <v>138</v>
      </c>
      <c r="K97" s="14">
        <v>44111</v>
      </c>
      <c r="L97" s="34">
        <f>IF("SIM"=M97,#REF!,IF(K97&gt;J97,#REF!,IF(K97&gt;J96,I81,L96)))</f>
        <v>0</v>
      </c>
      <c r="M97" s="35"/>
    </row>
    <row r="98" spans="2:26" x14ac:dyDescent="0.35">
      <c r="B98" s="124">
        <v>46022</v>
      </c>
      <c r="C98" s="125">
        <v>331100</v>
      </c>
      <c r="D98" s="126">
        <v>62000</v>
      </c>
      <c r="E98" s="127">
        <v>328600</v>
      </c>
      <c r="F98" s="127">
        <f>IFERROR(D98*VLOOKUP(B98,'ANP Diesel'!$B$8:$E$20,4,0),0)</f>
        <v>0</v>
      </c>
      <c r="G98" s="127">
        <v>69440</v>
      </c>
      <c r="H98" s="127">
        <f>F10383</f>
        <v>0</v>
      </c>
      <c r="I98" s="127">
        <f t="shared" si="58"/>
        <v>259160</v>
      </c>
    </row>
    <row r="99" spans="2:26" x14ac:dyDescent="0.35">
      <c r="B99" s="124">
        <v>46022</v>
      </c>
      <c r="C99" s="82" t="s">
        <v>73</v>
      </c>
      <c r="D99" s="100">
        <f>SUM(D94:D98)</f>
        <v>310000</v>
      </c>
      <c r="E99" s="102">
        <f t="shared" ref="E99" si="60">SUM(E94:E95)</f>
        <v>657200</v>
      </c>
      <c r="F99" s="101">
        <f>SUM(F94:F98)</f>
        <v>0</v>
      </c>
      <c r="G99" s="101">
        <f>SUM(G94:G98)</f>
        <v>347200</v>
      </c>
      <c r="H99" s="101">
        <f>SUM(H94:H98)</f>
        <v>0</v>
      </c>
      <c r="I99" s="102">
        <f>SUM(I94:I98)</f>
        <v>1295800</v>
      </c>
    </row>
    <row r="100" spans="2:26" x14ac:dyDescent="0.35">
      <c r="B100" s="103">
        <v>45992</v>
      </c>
      <c r="C100" s="104" t="s">
        <v>74</v>
      </c>
      <c r="D100" s="104"/>
      <c r="E100" s="104"/>
      <c r="F100" s="104"/>
      <c r="G100" s="104"/>
      <c r="H100" s="103"/>
      <c r="I100" s="105">
        <f>IFERROR(I99/D99,0)</f>
        <v>4.18</v>
      </c>
    </row>
    <row r="103" spans="2:26" x14ac:dyDescent="0.35">
      <c r="Z103" s="53"/>
    </row>
    <row r="109" spans="2:26" x14ac:dyDescent="0.35">
      <c r="B109" s="5"/>
    </row>
    <row r="110" spans="2:26" x14ac:dyDescent="0.35">
      <c r="B110" s="5"/>
    </row>
    <row r="111" spans="2:26" x14ac:dyDescent="0.35">
      <c r="B111" s="5"/>
      <c r="J111" s="14" t="s">
        <v>138</v>
      </c>
      <c r="K111" s="14">
        <v>44172</v>
      </c>
    </row>
    <row r="112" spans="2:26" x14ac:dyDescent="0.35">
      <c r="B112" s="5"/>
    </row>
    <row r="113" spans="2:13" x14ac:dyDescent="0.35">
      <c r="B113" s="5"/>
    </row>
    <row r="114" spans="2:13" x14ac:dyDescent="0.35">
      <c r="B114" s="5"/>
    </row>
    <row r="115" spans="2:13" x14ac:dyDescent="0.35">
      <c r="B115" s="5"/>
    </row>
    <row r="116" spans="2:13" x14ac:dyDescent="0.35">
      <c r="B116" s="5"/>
    </row>
    <row r="117" spans="2:13" x14ac:dyDescent="0.35">
      <c r="B117" s="5"/>
    </row>
    <row r="118" spans="2:13" x14ac:dyDescent="0.35">
      <c r="B118" s="5"/>
    </row>
    <row r="119" spans="2:13" x14ac:dyDescent="0.35">
      <c r="B119" s="5"/>
    </row>
    <row r="120" spans="2:13" x14ac:dyDescent="0.35">
      <c r="B120" s="5"/>
      <c r="J120" s="14" t="s">
        <v>138</v>
      </c>
      <c r="K120" s="14">
        <v>44204</v>
      </c>
    </row>
    <row r="121" spans="2:13" x14ac:dyDescent="0.35">
      <c r="B121" s="5"/>
      <c r="J121" s="14" t="s">
        <v>138</v>
      </c>
      <c r="K121" s="14">
        <v>44204</v>
      </c>
      <c r="L121" s="34" t="e">
        <f>IF("SIM"=M121,I100,IF(K121&gt;J121,I100,IF(K121&gt;#REF!,I93,#REF!)))</f>
        <v>#REF!</v>
      </c>
      <c r="M121" s="35"/>
    </row>
    <row r="122" spans="2:13" ht="15" customHeight="1" x14ac:dyDescent="0.35">
      <c r="B122" s="5"/>
    </row>
    <row r="123" spans="2:13" x14ac:dyDescent="0.35">
      <c r="B123" s="5"/>
    </row>
    <row r="124" spans="2:13" x14ac:dyDescent="0.35">
      <c r="B124" s="5"/>
    </row>
    <row r="125" spans="2:13" x14ac:dyDescent="0.35">
      <c r="B125" s="5"/>
    </row>
    <row r="126" spans="2:13" x14ac:dyDescent="0.35">
      <c r="B126" s="5"/>
    </row>
    <row r="127" spans="2:13" x14ac:dyDescent="0.35">
      <c r="B127" s="5"/>
    </row>
    <row r="128" spans="2:13" x14ac:dyDescent="0.35">
      <c r="B128" s="5"/>
    </row>
    <row r="129" spans="2:2" x14ac:dyDescent="0.35">
      <c r="B129" s="5"/>
    </row>
    <row r="130" spans="2:2" x14ac:dyDescent="0.35">
      <c r="B130" s="5"/>
    </row>
    <row r="131" spans="2:2" x14ac:dyDescent="0.35">
      <c r="B131" s="5"/>
    </row>
    <row r="132" spans="2:2" x14ac:dyDescent="0.35">
      <c r="B132" s="5"/>
    </row>
    <row r="133" spans="2:2" x14ac:dyDescent="0.35">
      <c r="B133" s="5"/>
    </row>
    <row r="134" spans="2:2" x14ac:dyDescent="0.35">
      <c r="B134" s="5"/>
    </row>
    <row r="135" spans="2:2" x14ac:dyDescent="0.35">
      <c r="B135" s="5"/>
    </row>
    <row r="136" spans="2:2" x14ac:dyDescent="0.35">
      <c r="B136" s="5"/>
    </row>
    <row r="137" spans="2:2" ht="15" customHeight="1" x14ac:dyDescent="0.35">
      <c r="B137" s="5"/>
    </row>
    <row r="138" spans="2:2" x14ac:dyDescent="0.35">
      <c r="B138" s="5"/>
    </row>
    <row r="139" spans="2:2" x14ac:dyDescent="0.35">
      <c r="B139" s="5"/>
    </row>
    <row r="140" spans="2:2" x14ac:dyDescent="0.35">
      <c r="B140" s="5"/>
    </row>
    <row r="141" spans="2:2" x14ac:dyDescent="0.35">
      <c r="B141" s="5"/>
    </row>
    <row r="142" spans="2:2" x14ac:dyDescent="0.35">
      <c r="B142" s="5"/>
    </row>
    <row r="143" spans="2:2" x14ac:dyDescent="0.35">
      <c r="B143" s="5"/>
    </row>
    <row r="144" spans="2:2" x14ac:dyDescent="0.35">
      <c r="B144" s="5"/>
    </row>
    <row r="145" spans="2:2" x14ac:dyDescent="0.35">
      <c r="B145" s="5"/>
    </row>
    <row r="146" spans="2:2" x14ac:dyDescent="0.35">
      <c r="B146" s="5"/>
    </row>
    <row r="147" spans="2:2" x14ac:dyDescent="0.35">
      <c r="B147" s="5"/>
    </row>
    <row r="148" spans="2:2" x14ac:dyDescent="0.35">
      <c r="B148" s="5"/>
    </row>
    <row r="149" spans="2:2" x14ac:dyDescent="0.35">
      <c r="B149" s="5"/>
    </row>
    <row r="150" spans="2:2" x14ac:dyDescent="0.35">
      <c r="B150" s="5"/>
    </row>
    <row r="151" spans="2:2" x14ac:dyDescent="0.35">
      <c r="B151" s="5"/>
    </row>
    <row r="152" spans="2:2" ht="15" customHeight="1" x14ac:dyDescent="0.35">
      <c r="B152" s="5"/>
    </row>
    <row r="153" spans="2:2" x14ac:dyDescent="0.35">
      <c r="B153" s="5"/>
    </row>
    <row r="154" spans="2:2" x14ac:dyDescent="0.35">
      <c r="B154" s="5"/>
    </row>
    <row r="155" spans="2:2" x14ac:dyDescent="0.35">
      <c r="B155" s="5"/>
    </row>
    <row r="156" spans="2:2" x14ac:dyDescent="0.35">
      <c r="B156" s="5"/>
    </row>
    <row r="157" spans="2:2" x14ac:dyDescent="0.35">
      <c r="B157" s="5"/>
    </row>
    <row r="158" spans="2:2" x14ac:dyDescent="0.35">
      <c r="B158" s="5"/>
    </row>
    <row r="159" spans="2:2" x14ac:dyDescent="0.35">
      <c r="B159" s="5"/>
    </row>
    <row r="160" spans="2:2" x14ac:dyDescent="0.35">
      <c r="B160" s="5"/>
    </row>
    <row r="161" spans="2:2" x14ac:dyDescent="0.35">
      <c r="B161" s="5"/>
    </row>
    <row r="162" spans="2:2" x14ac:dyDescent="0.35">
      <c r="B162" s="5"/>
    </row>
    <row r="163" spans="2:2" x14ac:dyDescent="0.35">
      <c r="B163" s="5"/>
    </row>
    <row r="164" spans="2:2" x14ac:dyDescent="0.35">
      <c r="B164" s="5"/>
    </row>
    <row r="165" spans="2:2" x14ac:dyDescent="0.35">
      <c r="B165" s="5"/>
    </row>
    <row r="166" spans="2:2" x14ac:dyDescent="0.35">
      <c r="B166" s="5"/>
    </row>
    <row r="167" spans="2:2" ht="15" customHeight="1" x14ac:dyDescent="0.35"/>
  </sheetData>
  <mergeCells count="1">
    <mergeCell ref="B1:Z2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H9 H32 U14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2"/>
  <sheetViews>
    <sheetView showGridLines="0" topLeftCell="A14" zoomScale="90" zoomScaleNormal="90" workbookViewId="0">
      <selection activeCell="M28" sqref="M28:M29"/>
    </sheetView>
  </sheetViews>
  <sheetFormatPr defaultRowHeight="14.5" x14ac:dyDescent="0.35"/>
  <cols>
    <col min="1" max="1" width="3.54296875" customWidth="1"/>
    <col min="3" max="3" width="7.81640625" customWidth="1"/>
    <col min="4" max="4" width="7.54296875" customWidth="1"/>
    <col min="5" max="8" width="7.81640625" customWidth="1"/>
    <col min="9" max="9" width="10.54296875" customWidth="1"/>
    <col min="10" max="10" width="11.54296875" customWidth="1"/>
    <col min="12" max="12" width="11.54296875" bestFit="1" customWidth="1"/>
    <col min="13" max="13" width="11.7265625" customWidth="1"/>
    <col min="14" max="14" width="12.26953125" customWidth="1"/>
    <col min="15" max="15" width="10.7265625" customWidth="1"/>
    <col min="16" max="16" width="16.81640625" bestFit="1" customWidth="1"/>
    <col min="17" max="17" width="19.1796875" bestFit="1" customWidth="1"/>
    <col min="18" max="18" width="15.81640625" bestFit="1" customWidth="1"/>
  </cols>
  <sheetData>
    <row r="1" spans="2:18" ht="15" customHeight="1" x14ac:dyDescent="0.35">
      <c r="B1" s="260" t="s">
        <v>35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2:18" x14ac:dyDescent="0.35"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2:18" x14ac:dyDescent="0.35"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</row>
    <row r="4" spans="2:18" ht="15" thickBot="1" x14ac:dyDescent="0.4">
      <c r="B4" s="1"/>
      <c r="C4" s="1"/>
      <c r="D4" s="1"/>
      <c r="E4" s="1"/>
      <c r="F4" s="1"/>
      <c r="G4" s="1"/>
      <c r="H4" s="1"/>
      <c r="L4" s="269" t="s">
        <v>45</v>
      </c>
      <c r="M4" s="270"/>
      <c r="N4" s="271"/>
    </row>
    <row r="5" spans="2:18" s="4" customFormat="1" ht="44" thickBot="1" x14ac:dyDescent="0.4">
      <c r="B5" s="106" t="s">
        <v>36</v>
      </c>
      <c r="C5" s="107" t="s">
        <v>37</v>
      </c>
      <c r="D5" s="107" t="s">
        <v>38</v>
      </c>
      <c r="E5" s="107" t="s">
        <v>39</v>
      </c>
      <c r="F5" s="107" t="s">
        <v>40</v>
      </c>
      <c r="G5" s="107" t="s">
        <v>41</v>
      </c>
      <c r="H5" s="108" t="s">
        <v>42</v>
      </c>
      <c r="I5" s="109" t="s">
        <v>43</v>
      </c>
      <c r="J5" s="109" t="s">
        <v>62</v>
      </c>
      <c r="K5" s="109" t="s">
        <v>44</v>
      </c>
      <c r="L5" s="110" t="s">
        <v>47</v>
      </c>
      <c r="M5" s="110" t="s">
        <v>48</v>
      </c>
      <c r="N5" s="109" t="s">
        <v>46</v>
      </c>
      <c r="O5" s="111" t="s">
        <v>49</v>
      </c>
    </row>
    <row r="6" spans="2:18" x14ac:dyDescent="0.35">
      <c r="B6" s="112">
        <v>45658</v>
      </c>
      <c r="C6" s="213">
        <v>3.5428299999999999</v>
      </c>
      <c r="D6" s="213">
        <v>3.6099299999999999</v>
      </c>
      <c r="E6" s="213">
        <v>3.5604499999999999</v>
      </c>
      <c r="F6" s="213">
        <v>3.5819100000000001</v>
      </c>
      <c r="G6" s="213">
        <v>3.5671400000000002</v>
      </c>
      <c r="H6" s="115"/>
      <c r="I6" s="272">
        <f>IFERROR((C7*C6+D7*D6+E7*E6+F7*F6+G7*G6+H7*H6)/SUM(C7:H7),0)</f>
        <v>3.5747058064516133</v>
      </c>
      <c r="J6" s="272">
        <f>I6*0.0925</f>
        <v>0.33066028709677425</v>
      </c>
      <c r="K6" s="272">
        <f>I6-J6</f>
        <v>3.244045519354839</v>
      </c>
      <c r="L6" s="272">
        <v>0.69</v>
      </c>
      <c r="M6" s="272">
        <v>5.38</v>
      </c>
      <c r="N6" s="274">
        <f>IFERROR(L6/M6,0)</f>
        <v>0.12825278810408922</v>
      </c>
      <c r="O6" s="272">
        <f>K6*(1+N6)</f>
        <v>3.6601034019486751</v>
      </c>
    </row>
    <row r="7" spans="2:18" ht="15" thickBot="1" x14ac:dyDescent="0.4">
      <c r="B7" s="116" t="s">
        <v>50</v>
      </c>
      <c r="C7" s="117">
        <v>5</v>
      </c>
      <c r="D7" s="117">
        <v>7</v>
      </c>
      <c r="E7" s="117">
        <v>7</v>
      </c>
      <c r="F7" s="117">
        <v>7</v>
      </c>
      <c r="G7" s="117">
        <v>5</v>
      </c>
      <c r="H7" s="118"/>
      <c r="I7" s="273"/>
      <c r="J7" s="273"/>
      <c r="K7" s="273"/>
      <c r="L7" s="273"/>
      <c r="M7" s="273"/>
      <c r="N7" s="275"/>
      <c r="O7" s="273"/>
      <c r="Q7" s="4"/>
    </row>
    <row r="8" spans="2:18" x14ac:dyDescent="0.35">
      <c r="B8" s="112">
        <v>45689</v>
      </c>
      <c r="C8" s="113">
        <v>4.0338099999999999</v>
      </c>
      <c r="D8" s="113">
        <v>4.2833500000000004</v>
      </c>
      <c r="E8" s="114">
        <v>4.2819500000000001</v>
      </c>
      <c r="F8" s="114">
        <v>4.2730199999999998</v>
      </c>
      <c r="G8" s="114">
        <v>4.2823900000000004</v>
      </c>
      <c r="H8" s="115"/>
      <c r="I8" s="272">
        <f>IFERROR((C9*C8+D9*D8+E9*E8+F9*F8+G9*G8*H8)/SUM(C9:G9),0)</f>
        <v>3.497709285714286</v>
      </c>
      <c r="J8" s="272">
        <f>I8*0.0925</f>
        <v>0.32353810892857143</v>
      </c>
      <c r="K8" s="272">
        <f>I8-J8</f>
        <v>3.1741711767857144</v>
      </c>
      <c r="L8" s="272">
        <v>1.0069999999999999</v>
      </c>
      <c r="M8" s="272">
        <v>5.423</v>
      </c>
      <c r="N8" s="274">
        <f>IFERROR(L8/M8,0)</f>
        <v>0.18569057717130738</v>
      </c>
      <c r="O8" s="272">
        <f>K8*(1+N8)</f>
        <v>3.7635848546435815</v>
      </c>
      <c r="P8" s="10"/>
      <c r="Q8" s="4"/>
    </row>
    <row r="9" spans="2:18" ht="15" thickBot="1" x14ac:dyDescent="0.4">
      <c r="B9" s="116" t="s">
        <v>50</v>
      </c>
      <c r="C9" s="117">
        <v>2</v>
      </c>
      <c r="D9" s="117">
        <v>7</v>
      </c>
      <c r="E9" s="117">
        <v>7</v>
      </c>
      <c r="F9" s="117">
        <v>7</v>
      </c>
      <c r="G9" s="117">
        <v>5</v>
      </c>
      <c r="H9" s="118"/>
      <c r="I9" s="273"/>
      <c r="J9" s="273"/>
      <c r="K9" s="273"/>
      <c r="L9" s="273"/>
      <c r="M9" s="273"/>
      <c r="N9" s="275"/>
      <c r="O9" s="273"/>
      <c r="P9" s="10"/>
      <c r="Q9" s="4"/>
    </row>
    <row r="10" spans="2:18" x14ac:dyDescent="0.35">
      <c r="B10" s="112">
        <v>45717</v>
      </c>
      <c r="C10" s="213">
        <v>3.16804</v>
      </c>
      <c r="D10" s="213">
        <v>3.0522800000000001</v>
      </c>
      <c r="E10" s="213">
        <v>3.1060699999999999</v>
      </c>
      <c r="F10" s="213">
        <v>3.0022000000000002</v>
      </c>
      <c r="G10" s="213">
        <v>2.9672499999999999</v>
      </c>
      <c r="H10" s="115">
        <f>((C10*C11+D10*D11+E10*E11+F10*F11+G10*G11)/SUM(C11:G11))</f>
        <v>3.0410226666666671</v>
      </c>
      <c r="I10" s="272">
        <f t="shared" ref="I10" si="0">IFERROR((C11*C10+D11*D10+E11*E10+F11*F10+G11*G10+H11*H10)/SUM(C11:H11),0)</f>
        <v>3.0410226666666667</v>
      </c>
      <c r="J10" s="272">
        <f t="shared" ref="J10" si="1">I10*0.0925</f>
        <v>0.28129459666666667</v>
      </c>
      <c r="K10" s="272">
        <f t="shared" ref="K10" si="2">I10-J10</f>
        <v>2.75972807</v>
      </c>
      <c r="L10" s="272">
        <v>0.751</v>
      </c>
      <c r="M10" s="272">
        <v>5.6589999999999998</v>
      </c>
      <c r="N10" s="274">
        <f t="shared" ref="N10" si="3">IFERROR(L10/M10,0)</f>
        <v>0.13270895918006714</v>
      </c>
      <c r="O10" s="272">
        <f t="shared" ref="O10" si="4">K10*(1+N10)</f>
        <v>3.1259687097897157</v>
      </c>
      <c r="P10" s="50"/>
      <c r="Q10" s="4"/>
      <c r="R10" s="10"/>
    </row>
    <row r="11" spans="2:18" ht="15" thickBot="1" x14ac:dyDescent="0.4">
      <c r="B11" s="116" t="s">
        <v>50</v>
      </c>
      <c r="C11" s="117">
        <v>2</v>
      </c>
      <c r="D11" s="117">
        <v>7</v>
      </c>
      <c r="E11" s="117">
        <v>7</v>
      </c>
      <c r="F11" s="117">
        <v>7</v>
      </c>
      <c r="G11" s="117">
        <v>7</v>
      </c>
      <c r="H11" s="118">
        <v>1</v>
      </c>
      <c r="I11" s="273"/>
      <c r="J11" s="273"/>
      <c r="K11" s="273"/>
      <c r="L11" s="273"/>
      <c r="M11" s="273"/>
      <c r="N11" s="275"/>
      <c r="O11" s="273"/>
      <c r="P11" s="10"/>
      <c r="R11" s="10"/>
    </row>
    <row r="12" spans="2:18" x14ac:dyDescent="0.35">
      <c r="B12" s="112">
        <v>45748</v>
      </c>
      <c r="C12" s="113">
        <v>2.9090099999999999</v>
      </c>
      <c r="D12" s="113">
        <v>2.9761500000000001</v>
      </c>
      <c r="E12" s="113">
        <v>2.86314</v>
      </c>
      <c r="F12" s="114">
        <v>2.9707699999999999</v>
      </c>
      <c r="G12" s="114">
        <v>2.9334600000000002</v>
      </c>
      <c r="H12" s="115"/>
      <c r="I12" s="272">
        <f t="shared" ref="I12" si="5">IFERROR((C13*C12+D13*D12+E13*E12+F13*F12+G13*G12+H13*H12)/SUM(C13:H13),0)</f>
        <v>2.9308286666666663</v>
      </c>
      <c r="J12" s="272">
        <f t="shared" ref="J12" si="6">I12*0.0925</f>
        <v>0.27110165166666661</v>
      </c>
      <c r="K12" s="272">
        <f t="shared" ref="K12" si="7">I12-J12</f>
        <v>2.6597270149999996</v>
      </c>
      <c r="L12" s="272">
        <v>0.69599999999999995</v>
      </c>
      <c r="M12" s="272">
        <v>5.6040000000000001</v>
      </c>
      <c r="N12" s="274">
        <f t="shared" ref="N12" si="8">IFERROR(L12/M12,0)</f>
        <v>0.12419700214132762</v>
      </c>
      <c r="O12" s="272">
        <f t="shared" ref="O12" si="9">K12*(1+N12)</f>
        <v>2.9900571367773017</v>
      </c>
      <c r="R12" s="52"/>
    </row>
    <row r="13" spans="2:18" ht="15" thickBot="1" x14ac:dyDescent="0.4">
      <c r="B13" s="116" t="s">
        <v>50</v>
      </c>
      <c r="C13" s="117">
        <v>6</v>
      </c>
      <c r="D13" s="117">
        <v>7</v>
      </c>
      <c r="E13" s="117">
        <v>7</v>
      </c>
      <c r="F13" s="117">
        <v>7</v>
      </c>
      <c r="G13" s="117">
        <v>3</v>
      </c>
      <c r="H13" s="118"/>
      <c r="I13" s="273"/>
      <c r="J13" s="273"/>
      <c r="K13" s="273"/>
      <c r="L13" s="273"/>
      <c r="M13" s="273"/>
      <c r="N13" s="275"/>
      <c r="O13" s="273"/>
    </row>
    <row r="14" spans="2:18" x14ac:dyDescent="0.35">
      <c r="B14" s="112">
        <v>45778</v>
      </c>
      <c r="C14" s="113">
        <v>2.9334600000000002</v>
      </c>
      <c r="D14" s="113">
        <v>2.7871299999999999</v>
      </c>
      <c r="E14" s="114">
        <v>2.84693</v>
      </c>
      <c r="F14" s="114">
        <v>2.9422000000000001</v>
      </c>
      <c r="G14" s="114">
        <v>2.9269799999999999</v>
      </c>
      <c r="H14" s="115"/>
      <c r="I14" s="272">
        <f t="shared" ref="I14" si="10">IFERROR((C15*C14+D15*D14+E15*E14+F15*F14+G15*G14+H15*H14)/SUM(C15:H15),0)</f>
        <v>2.8815980645161288</v>
      </c>
      <c r="J14" s="272">
        <f t="shared" ref="J14" si="11">I14*0.0925</f>
        <v>0.26654782096774193</v>
      </c>
      <c r="K14" s="272">
        <f t="shared" ref="K14" si="12">I14-J14</f>
        <v>2.6150502435483869</v>
      </c>
      <c r="L14" s="272">
        <v>0.79900000000000004</v>
      </c>
      <c r="M14" s="272">
        <v>5.3810000000000002</v>
      </c>
      <c r="N14" s="276">
        <f t="shared" ref="N14" si="13">IFERROR(L14/M14,0)</f>
        <v>0.14848541163352538</v>
      </c>
      <c r="O14" s="272">
        <f t="shared" ref="O14" si="14">K14*(1+N14)</f>
        <v>3.0033470554040202</v>
      </c>
    </row>
    <row r="15" spans="2:18" ht="15" thickBot="1" x14ac:dyDescent="0.4">
      <c r="B15" s="116" t="s">
        <v>50</v>
      </c>
      <c r="C15" s="117">
        <v>4</v>
      </c>
      <c r="D15" s="117">
        <v>7</v>
      </c>
      <c r="E15" s="117">
        <v>7</v>
      </c>
      <c r="F15" s="117">
        <v>7</v>
      </c>
      <c r="G15" s="117">
        <v>6</v>
      </c>
      <c r="H15" s="118"/>
      <c r="I15" s="273"/>
      <c r="J15" s="273"/>
      <c r="K15" s="273"/>
      <c r="L15" s="273"/>
      <c r="M15" s="273"/>
      <c r="N15" s="277"/>
      <c r="O15" s="273"/>
    </row>
    <row r="16" spans="2:18" x14ac:dyDescent="0.35">
      <c r="B16" s="112">
        <v>45809</v>
      </c>
      <c r="C16" s="113">
        <v>2.9269799999999999</v>
      </c>
      <c r="D16" s="113">
        <v>2.66276</v>
      </c>
      <c r="E16" s="114">
        <v>2.8372700000000002</v>
      </c>
      <c r="F16" s="114">
        <v>2.9317799999999998</v>
      </c>
      <c r="G16" s="115">
        <v>3.0274299999999998</v>
      </c>
      <c r="H16" s="115">
        <f>((C16*C17+D16*D17+E16*E17+F16*F17+G16*G17)/SUM(C17:G17))</f>
        <v>2.8669537931034483</v>
      </c>
      <c r="I16" s="272">
        <f t="shared" ref="I16" si="15">IFERROR((C17*C16+D17*D16+E17*E16+F17*F16+G17*G16+H17*H16)/SUM(C17:H17),0)</f>
        <v>2.8669537931034483</v>
      </c>
      <c r="J16" s="272">
        <f t="shared" ref="J16" si="16">I16*0.0925</f>
        <v>0.26519322586206895</v>
      </c>
      <c r="K16" s="272">
        <f t="shared" ref="K16" si="17">I16-J16</f>
        <v>2.6017605672413793</v>
      </c>
      <c r="L16" s="272">
        <v>1.0089999999999999</v>
      </c>
      <c r="M16" s="272">
        <v>5.1710000000000003</v>
      </c>
      <c r="N16" s="274">
        <f t="shared" ref="N16" si="18">IFERROR(L16/M16,0)</f>
        <v>0.19512666795590791</v>
      </c>
      <c r="O16" s="272">
        <f t="shared" ref="O16" si="19">K16*(1+N16)</f>
        <v>3.1094334375462624</v>
      </c>
    </row>
    <row r="17" spans="2:17" ht="15" thickBot="1" x14ac:dyDescent="0.4">
      <c r="B17" s="116" t="s">
        <v>50</v>
      </c>
      <c r="C17" s="117">
        <v>1</v>
      </c>
      <c r="D17" s="117">
        <v>7</v>
      </c>
      <c r="E17" s="117">
        <v>7</v>
      </c>
      <c r="F17" s="117">
        <v>7</v>
      </c>
      <c r="G17" s="117">
        <v>7</v>
      </c>
      <c r="H17" s="118">
        <v>1</v>
      </c>
      <c r="I17" s="273"/>
      <c r="J17" s="273"/>
      <c r="K17" s="273"/>
      <c r="L17" s="273"/>
      <c r="M17" s="273"/>
      <c r="N17" s="275"/>
      <c r="O17" s="273"/>
    </row>
    <row r="18" spans="2:17" x14ac:dyDescent="0.35">
      <c r="B18" s="112">
        <v>45839</v>
      </c>
      <c r="C18" s="113">
        <v>2.7966899999999999</v>
      </c>
      <c r="D18" s="113">
        <v>2.78315</v>
      </c>
      <c r="E18" s="114">
        <v>2.8226800000000001</v>
      </c>
      <c r="F18" s="114">
        <v>2.79373</v>
      </c>
      <c r="G18" s="115">
        <f>((C18*C19+D18*D19+E18*E19+F18*F19)/SUM(C19:F19))</f>
        <v>2.7991503703703704</v>
      </c>
      <c r="H18" s="115"/>
      <c r="I18" s="272">
        <f t="shared" ref="I18" si="20">IFERROR((C19*C18+D19*D18+E19*E18+F19*F18+G19*G18+H19*H18)/SUM(C19:H19),0)</f>
        <v>2.7991503703703704</v>
      </c>
      <c r="J18" s="272">
        <f t="shared" ref="J18" si="21">I18*0.0925</f>
        <v>0.25892140925925927</v>
      </c>
      <c r="K18" s="272">
        <f t="shared" ref="K18" si="22">I18-J18</f>
        <v>2.5402289611111111</v>
      </c>
      <c r="L18" s="272">
        <v>0.93899999999999995</v>
      </c>
      <c r="M18" s="272">
        <v>5.1710000000000003</v>
      </c>
      <c r="N18" s="274">
        <f t="shared" ref="N18" si="23">IFERROR(L18/M18,0)</f>
        <v>0.18158963450009669</v>
      </c>
      <c r="O18" s="272">
        <f t="shared" ref="O18" si="24">K18*(1+N18)</f>
        <v>3.0015082097058379</v>
      </c>
    </row>
    <row r="19" spans="2:17" ht="15" thickBot="1" x14ac:dyDescent="0.4">
      <c r="B19" s="116" t="s">
        <v>50</v>
      </c>
      <c r="C19" s="117">
        <v>6</v>
      </c>
      <c r="D19" s="117">
        <v>7</v>
      </c>
      <c r="E19" s="117">
        <v>7</v>
      </c>
      <c r="F19" s="117">
        <v>7</v>
      </c>
      <c r="G19" s="117">
        <v>4</v>
      </c>
      <c r="H19" s="118">
        <v>0</v>
      </c>
      <c r="I19" s="273"/>
      <c r="J19" s="273"/>
      <c r="K19" s="273"/>
      <c r="L19" s="273"/>
      <c r="M19" s="273"/>
      <c r="N19" s="275"/>
      <c r="O19" s="273"/>
    </row>
    <row r="20" spans="2:17" x14ac:dyDescent="0.35">
      <c r="B20" s="112">
        <v>45870</v>
      </c>
      <c r="C20" s="234">
        <v>2.84518</v>
      </c>
      <c r="D20" s="234">
        <v>3.03172</v>
      </c>
      <c r="E20" s="235">
        <v>2.8192300000000001</v>
      </c>
      <c r="F20" s="235">
        <v>2.6206900000000002</v>
      </c>
      <c r="G20" s="235">
        <v>2.6659000000000002</v>
      </c>
      <c r="H20" s="115"/>
      <c r="I20" s="272">
        <f t="shared" ref="I20" si="25">IFERROR((C21*C20+D21*D20+E21*E20+F21*F20+G21*G20+H21*H20)/SUM(C21:H21),0)</f>
        <v>2.7902683870967739</v>
      </c>
      <c r="J20" s="272">
        <f t="shared" ref="J20" si="26">I20*0.0925</f>
        <v>0.25809982580645158</v>
      </c>
      <c r="K20" s="272">
        <f t="shared" ref="K20" si="27">I20-J20</f>
        <v>2.5321685612903222</v>
      </c>
      <c r="L20" s="278">
        <v>0.88500000000000001</v>
      </c>
      <c r="M20" s="278">
        <v>5.1749999999999998</v>
      </c>
      <c r="N20" s="274">
        <f t="shared" ref="N20" si="28">IFERROR(L20/M20,0)</f>
        <v>0.17101449275362321</v>
      </c>
      <c r="O20" s="272">
        <f t="shared" ref="O20" si="29">K20*(1+N20)</f>
        <v>2.9652060833660587</v>
      </c>
    </row>
    <row r="21" spans="2:17" ht="15" thickBot="1" x14ac:dyDescent="0.4">
      <c r="B21" s="116" t="s">
        <v>50</v>
      </c>
      <c r="C21" s="117">
        <v>3</v>
      </c>
      <c r="D21" s="117">
        <v>7</v>
      </c>
      <c r="E21" s="117">
        <v>7</v>
      </c>
      <c r="F21" s="117">
        <v>7</v>
      </c>
      <c r="G21" s="117">
        <v>7</v>
      </c>
      <c r="H21" s="118"/>
      <c r="I21" s="273"/>
      <c r="J21" s="273"/>
      <c r="K21" s="273"/>
      <c r="L21" s="279"/>
      <c r="M21" s="279"/>
      <c r="N21" s="275"/>
      <c r="O21" s="273"/>
    </row>
    <row r="22" spans="2:17" ht="15.75" customHeight="1" x14ac:dyDescent="0.35">
      <c r="B22" s="112">
        <v>45901</v>
      </c>
      <c r="C22" s="113">
        <v>3.3744999999999998</v>
      </c>
      <c r="D22" s="113">
        <v>2.9232900000000002</v>
      </c>
      <c r="E22" s="114">
        <v>2.8756200000000001</v>
      </c>
      <c r="F22" s="114">
        <v>2.9424999999999999</v>
      </c>
      <c r="G22" s="114">
        <f>((C22*C23+D22*D23+E22*E23+F22*F23)/SUM(C23:F23))</f>
        <v>3.0289774999999999</v>
      </c>
      <c r="H22" s="115"/>
      <c r="I22" s="272">
        <f t="shared" ref="I22" si="30">IFERROR((C23*C22+D23*D22+E23*E22+F23*F22+G23*G22+H23*H22)/SUM(C23:H23),0)</f>
        <v>3.0289775000000003</v>
      </c>
      <c r="J22" s="272">
        <f t="shared" ref="J22" si="31">I22*0.0925</f>
        <v>0.28018041875000005</v>
      </c>
      <c r="K22" s="272">
        <f t="shared" ref="K22" si="32">I22-J22</f>
        <v>2.7487970812500002</v>
      </c>
      <c r="L22" s="272">
        <v>0.91500000000000004</v>
      </c>
      <c r="M22" s="272">
        <v>5.1749999999999998</v>
      </c>
      <c r="N22" s="274">
        <f t="shared" ref="N22" si="33">IFERROR(L22/M22,0)</f>
        <v>0.17681159420289858</v>
      </c>
      <c r="O22" s="272">
        <f>K22*(1+N22)</f>
        <v>3.2348162753260872</v>
      </c>
    </row>
    <row r="23" spans="2:17" ht="15" thickBot="1" x14ac:dyDescent="0.4">
      <c r="B23" s="116" t="s">
        <v>50</v>
      </c>
      <c r="C23" s="117">
        <v>7</v>
      </c>
      <c r="D23" s="117">
        <v>7</v>
      </c>
      <c r="E23" s="117">
        <v>7</v>
      </c>
      <c r="F23" s="117">
        <v>7</v>
      </c>
      <c r="G23" s="117">
        <v>2</v>
      </c>
      <c r="H23" s="118">
        <v>0</v>
      </c>
      <c r="I23" s="273"/>
      <c r="J23" s="273"/>
      <c r="K23" s="273"/>
      <c r="L23" s="273"/>
      <c r="M23" s="273"/>
      <c r="N23" s="275"/>
      <c r="O23" s="273"/>
      <c r="Q23" s="4"/>
    </row>
    <row r="24" spans="2:17" ht="14.25" customHeight="1" x14ac:dyDescent="0.35">
      <c r="B24" s="112">
        <v>45931</v>
      </c>
      <c r="C24" s="113">
        <v>2.8654999999999999</v>
      </c>
      <c r="D24" s="113">
        <v>2.8424800000000001</v>
      </c>
      <c r="E24" s="114">
        <v>2.8081399999999999</v>
      </c>
      <c r="F24" s="244">
        <v>2.7920099999999999</v>
      </c>
      <c r="G24" s="114">
        <f>((C24*C25+D24*D25+E24*E25+F24*F25)/SUM(C25:F25))</f>
        <v>2.8240734615384611</v>
      </c>
      <c r="H24" s="115"/>
      <c r="I24" s="272">
        <f>IFERROR((C25*C24+D25*D24+E25*E24+F25*F24+G25*G24+H25*H24)/SUM(C25:H25),0)</f>
        <v>2.8240734615384611</v>
      </c>
      <c r="J24" s="272">
        <f t="shared" ref="J24" si="34">I24*0.0925</f>
        <v>0.26122679519230763</v>
      </c>
      <c r="K24" s="272">
        <f t="shared" ref="K24" si="35">I24-J24</f>
        <v>2.5628466663461533</v>
      </c>
      <c r="L24" s="272">
        <v>0.86499999999999999</v>
      </c>
      <c r="M24" s="272">
        <v>5.2350000000000003</v>
      </c>
      <c r="N24" s="274">
        <f t="shared" ref="N24" si="36">IFERROR(L24/M24,0)</f>
        <v>0.16523400191021967</v>
      </c>
      <c r="O24" s="272">
        <f t="shared" ref="O24" si="37">K24*(1+N24)</f>
        <v>2.9863160773087936</v>
      </c>
      <c r="Q24" s="4"/>
    </row>
    <row r="25" spans="2:17" ht="15" thickBot="1" x14ac:dyDescent="0.4">
      <c r="B25" s="116" t="s">
        <v>50</v>
      </c>
      <c r="C25" s="117">
        <v>5</v>
      </c>
      <c r="D25" s="117">
        <v>7</v>
      </c>
      <c r="E25" s="117">
        <v>7</v>
      </c>
      <c r="F25" s="117">
        <v>7</v>
      </c>
      <c r="G25" s="117">
        <v>5</v>
      </c>
      <c r="H25" s="118">
        <v>0</v>
      </c>
      <c r="I25" s="273"/>
      <c r="J25" s="273"/>
      <c r="K25" s="273"/>
      <c r="L25" s="273"/>
      <c r="M25" s="273"/>
      <c r="N25" s="275"/>
      <c r="O25" s="273"/>
      <c r="Q25" s="4"/>
    </row>
    <row r="26" spans="2:17" x14ac:dyDescent="0.35">
      <c r="B26" s="112">
        <v>45962</v>
      </c>
      <c r="C26" s="113">
        <v>2.7700499999999999</v>
      </c>
      <c r="D26" s="114">
        <v>2.7688799999999998</v>
      </c>
      <c r="E26" s="114">
        <f>((C26*C27+D26*D27)/SUM(C27:D27))</f>
        <v>2.7691399999999997</v>
      </c>
      <c r="F26" s="114">
        <v>2.73752</v>
      </c>
      <c r="G26" s="114">
        <v>2.74248</v>
      </c>
      <c r="H26" s="115"/>
      <c r="I26" s="272">
        <f>IFERROR((C27*C26+D27*D26+E27*E26+F27*F26+G27*G26+H27*H26)/SUM(C27:H27),0)</f>
        <v>2.7555413333333334</v>
      </c>
      <c r="J26" s="272">
        <f t="shared" ref="J26" si="38">I26*0.0925</f>
        <v>0.25488757333333334</v>
      </c>
      <c r="K26" s="272">
        <f t="shared" ref="K26" si="39">I26-J26</f>
        <v>2.5006537600000001</v>
      </c>
      <c r="L26" s="272">
        <v>0.86499999999999999</v>
      </c>
      <c r="M26" s="272">
        <v>5.2350000000000003</v>
      </c>
      <c r="N26" s="274">
        <f>IFERROR(L26/M26,0)</f>
        <v>0.16523400191021967</v>
      </c>
      <c r="O26" s="272">
        <f t="shared" ref="O26" si="40">K26*(1+N26)</f>
        <v>2.9138467881566381</v>
      </c>
      <c r="Q26" s="208"/>
    </row>
    <row r="27" spans="2:17" ht="15" thickBot="1" x14ac:dyDescent="0.4">
      <c r="B27" s="116" t="s">
        <v>50</v>
      </c>
      <c r="C27" s="117">
        <v>2</v>
      </c>
      <c r="D27" s="117">
        <v>7</v>
      </c>
      <c r="E27" s="117">
        <v>7</v>
      </c>
      <c r="F27" s="117">
        <v>7</v>
      </c>
      <c r="G27" s="117">
        <v>7</v>
      </c>
      <c r="H27" s="118"/>
      <c r="I27" s="273"/>
      <c r="J27" s="273"/>
      <c r="K27" s="273"/>
      <c r="L27" s="273"/>
      <c r="M27" s="273"/>
      <c r="N27" s="275"/>
      <c r="O27" s="273"/>
    </row>
    <row r="28" spans="2:17" x14ac:dyDescent="0.35">
      <c r="B28" s="112">
        <v>45992</v>
      </c>
      <c r="C28" s="113">
        <v>2.7859099999999999</v>
      </c>
      <c r="D28" s="113">
        <v>2.72784</v>
      </c>
      <c r="E28" s="244">
        <v>2.73502</v>
      </c>
      <c r="F28" s="114">
        <v>2.5728</v>
      </c>
      <c r="G28" s="114">
        <v>2.56867</v>
      </c>
      <c r="H28" s="115"/>
      <c r="I28" s="272">
        <f t="shared" ref="I28" si="41">IFERROR((C29*C28+D29*D28+E29*E28+F29*F28+G29*G28+H29*H28)/SUM(C29:H29),0)</f>
        <v>2.6921612903225811</v>
      </c>
      <c r="J28" s="272">
        <f>I28*0.0925</f>
        <v>0.24902491935483875</v>
      </c>
      <c r="K28" s="272">
        <f t="shared" ref="K28" si="42">I28-J28</f>
        <v>2.4431363709677423</v>
      </c>
      <c r="L28" s="272">
        <v>0.83899999999999997</v>
      </c>
      <c r="M28" s="272">
        <v>5.2510000000000003</v>
      </c>
      <c r="N28" s="274">
        <f>IFERROR(L28/M28,0)</f>
        <v>0.1597790896972005</v>
      </c>
      <c r="O28" s="272">
        <f t="shared" ref="O28" si="43">K28*(1+N28)</f>
        <v>2.8334984763270898</v>
      </c>
    </row>
    <row r="29" spans="2:17" ht="15" thickBot="1" x14ac:dyDescent="0.4">
      <c r="B29" s="116" t="s">
        <v>50</v>
      </c>
      <c r="C29" s="117">
        <v>7</v>
      </c>
      <c r="D29" s="117">
        <v>7</v>
      </c>
      <c r="E29" s="117">
        <v>7</v>
      </c>
      <c r="F29" s="117">
        <v>7</v>
      </c>
      <c r="G29" s="117">
        <v>3</v>
      </c>
      <c r="H29" s="118">
        <v>0</v>
      </c>
      <c r="I29" s="273"/>
      <c r="J29" s="273"/>
      <c r="K29" s="273"/>
      <c r="L29" s="273"/>
      <c r="M29" s="273"/>
      <c r="N29" s="275"/>
      <c r="O29" s="273"/>
    </row>
    <row r="32" spans="2:17" x14ac:dyDescent="0.35">
      <c r="B32" s="119" t="s">
        <v>161</v>
      </c>
      <c r="C32" s="119"/>
      <c r="D32" s="119"/>
      <c r="E32" s="119"/>
      <c r="F32" s="119"/>
      <c r="G32" s="119"/>
    </row>
  </sheetData>
  <mergeCells count="86">
    <mergeCell ref="N26:N27"/>
    <mergeCell ref="O26:O27"/>
    <mergeCell ref="I28:I29"/>
    <mergeCell ref="J28:J29"/>
    <mergeCell ref="K28:K29"/>
    <mergeCell ref="L28:L29"/>
    <mergeCell ref="M28:M29"/>
    <mergeCell ref="N28:N29"/>
    <mergeCell ref="O28:O29"/>
    <mergeCell ref="I26:I27"/>
    <mergeCell ref="J26:J27"/>
    <mergeCell ref="K26:K27"/>
    <mergeCell ref="L26:L27"/>
    <mergeCell ref="M26:M27"/>
    <mergeCell ref="N22:N23"/>
    <mergeCell ref="O22:O23"/>
    <mergeCell ref="I24:I25"/>
    <mergeCell ref="J24:J25"/>
    <mergeCell ref="K24:K25"/>
    <mergeCell ref="L24:L25"/>
    <mergeCell ref="M24:M25"/>
    <mergeCell ref="N24:N25"/>
    <mergeCell ref="O24:O25"/>
    <mergeCell ref="I22:I23"/>
    <mergeCell ref="J22:J23"/>
    <mergeCell ref="K22:K23"/>
    <mergeCell ref="L22:L23"/>
    <mergeCell ref="M22:M23"/>
    <mergeCell ref="N18:N19"/>
    <mergeCell ref="O18:O19"/>
    <mergeCell ref="I20:I21"/>
    <mergeCell ref="J20:J21"/>
    <mergeCell ref="K20:K21"/>
    <mergeCell ref="L20:L21"/>
    <mergeCell ref="M20:M21"/>
    <mergeCell ref="N20:N21"/>
    <mergeCell ref="O20:O21"/>
    <mergeCell ref="I18:I19"/>
    <mergeCell ref="J18:J19"/>
    <mergeCell ref="K18:K19"/>
    <mergeCell ref="L18:L19"/>
    <mergeCell ref="M18:M19"/>
    <mergeCell ref="N14:N15"/>
    <mergeCell ref="O14:O15"/>
    <mergeCell ref="I16:I17"/>
    <mergeCell ref="J16:J17"/>
    <mergeCell ref="K16:K17"/>
    <mergeCell ref="L16:L17"/>
    <mergeCell ref="M16:M17"/>
    <mergeCell ref="N16:N17"/>
    <mergeCell ref="O16:O17"/>
    <mergeCell ref="I14:I15"/>
    <mergeCell ref="J14:J15"/>
    <mergeCell ref="K14:K15"/>
    <mergeCell ref="L14:L15"/>
    <mergeCell ref="M14:M15"/>
    <mergeCell ref="N8:N9"/>
    <mergeCell ref="O8:O9"/>
    <mergeCell ref="N10:N11"/>
    <mergeCell ref="O10:O11"/>
    <mergeCell ref="I12:I13"/>
    <mergeCell ref="J12:J13"/>
    <mergeCell ref="K12:K13"/>
    <mergeCell ref="L12:L13"/>
    <mergeCell ref="M12:M13"/>
    <mergeCell ref="N12:N13"/>
    <mergeCell ref="O12:O13"/>
    <mergeCell ref="I10:I11"/>
    <mergeCell ref="J10:J11"/>
    <mergeCell ref="K10:K11"/>
    <mergeCell ref="L10:L11"/>
    <mergeCell ref="M10:M11"/>
    <mergeCell ref="I8:I9"/>
    <mergeCell ref="J8:J9"/>
    <mergeCell ref="K8:K9"/>
    <mergeCell ref="L8:L9"/>
    <mergeCell ref="M8:M9"/>
    <mergeCell ref="B1:O3"/>
    <mergeCell ref="L4:N4"/>
    <mergeCell ref="I6:I7"/>
    <mergeCell ref="J6:J7"/>
    <mergeCell ref="K6:K7"/>
    <mergeCell ref="L6:L7"/>
    <mergeCell ref="M6:M7"/>
    <mergeCell ref="N6:N7"/>
    <mergeCell ref="O6:O7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G16:H22 H10" formulaRange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showGridLines="0" topLeftCell="A7" workbookViewId="0">
      <selection activeCell="H21" sqref="H21"/>
    </sheetView>
  </sheetViews>
  <sheetFormatPr defaultRowHeight="14.5" x14ac:dyDescent="0.35"/>
  <cols>
    <col min="1" max="1" width="4" customWidth="1"/>
    <col min="8" max="8" width="11.26953125" bestFit="1" customWidth="1"/>
    <col min="13" max="13" width="10.54296875" bestFit="1" customWidth="1"/>
    <col min="15" max="15" width="16.81640625" bestFit="1" customWidth="1"/>
  </cols>
  <sheetData>
    <row r="1" spans="1:15" ht="15" customHeight="1" x14ac:dyDescent="0.35">
      <c r="B1" s="260" t="s">
        <v>45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pans="1:15" ht="15" customHeight="1" x14ac:dyDescent="0.35"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</row>
    <row r="3" spans="1:15" ht="21" customHeight="1" x14ac:dyDescent="0.35"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</row>
    <row r="5" spans="1:15" ht="15" thickBot="1" x14ac:dyDescent="0.4">
      <c r="C5" s="133"/>
      <c r="D5" s="176" t="s">
        <v>75</v>
      </c>
      <c r="E5" s="177"/>
      <c r="F5" s="185">
        <v>1</v>
      </c>
      <c r="H5" s="11"/>
      <c r="I5" s="12"/>
      <c r="J5" s="28"/>
    </row>
    <row r="6" spans="1:15" ht="15" thickBot="1" x14ac:dyDescent="0.4">
      <c r="C6" s="280" t="s">
        <v>152</v>
      </c>
      <c r="D6" s="281"/>
      <c r="E6" s="281"/>
      <c r="F6" s="282"/>
      <c r="H6" s="280" t="s">
        <v>153</v>
      </c>
      <c r="I6" s="281"/>
      <c r="J6" s="281"/>
      <c r="K6" s="282"/>
    </row>
    <row r="7" spans="1:15" s="3" customFormat="1" ht="43.5" x14ac:dyDescent="0.35">
      <c r="B7" s="74" t="s">
        <v>36</v>
      </c>
      <c r="C7" s="134" t="s">
        <v>97</v>
      </c>
      <c r="D7" s="134" t="s">
        <v>98</v>
      </c>
      <c r="E7" s="135" t="s">
        <v>59</v>
      </c>
      <c r="F7" s="135" t="s">
        <v>96</v>
      </c>
      <c r="G7" s="27"/>
      <c r="H7" s="136" t="s">
        <v>99</v>
      </c>
      <c r="I7" s="64" t="s">
        <v>60</v>
      </c>
      <c r="J7" s="64" t="s">
        <v>76</v>
      </c>
      <c r="K7" s="75" t="s">
        <v>61</v>
      </c>
    </row>
    <row r="8" spans="1:15" x14ac:dyDescent="0.35">
      <c r="A8" s="209" t="s">
        <v>252</v>
      </c>
      <c r="B8" s="201">
        <v>45657</v>
      </c>
      <c r="C8" s="137">
        <v>1.0634999999999999</v>
      </c>
      <c r="D8" s="137">
        <v>1.0634999999999999</v>
      </c>
      <c r="E8" s="137">
        <f>IFERROR(AVERAGE(C8:D8),0)</f>
        <v>1.0634999999999999</v>
      </c>
      <c r="F8" s="137">
        <f>E8*$F$5</f>
        <v>1.0634999999999999</v>
      </c>
      <c r="H8" s="137">
        <v>5.3380000000000001</v>
      </c>
      <c r="I8" s="137">
        <f t="shared" ref="I8:I14" si="0">H8-F8</f>
        <v>4.2744999999999997</v>
      </c>
      <c r="J8" s="137">
        <f t="shared" ref="J8:J14" si="1">I8*0.0925</f>
        <v>0.39539124999999997</v>
      </c>
      <c r="K8" s="137">
        <f>I8</f>
        <v>4.2744999999999997</v>
      </c>
    </row>
    <row r="9" spans="1:15" x14ac:dyDescent="0.35">
      <c r="B9" s="210">
        <v>45658</v>
      </c>
      <c r="C9" s="137">
        <v>1.0634999999999999</v>
      </c>
      <c r="D9" s="137">
        <v>1.0634999999999999</v>
      </c>
      <c r="E9" s="137">
        <f t="shared" ref="E9:E18" si="2">IFERROR(AVERAGE(C9:D9),0)</f>
        <v>1.0634999999999999</v>
      </c>
      <c r="F9" s="137">
        <f>E9*$F$5</f>
        <v>1.0634999999999999</v>
      </c>
      <c r="H9" s="137">
        <f>'ANP Óleo Comb'!M6</f>
        <v>5.38</v>
      </c>
      <c r="I9" s="137">
        <f>H9-F9</f>
        <v>4.3164999999999996</v>
      </c>
      <c r="J9" s="137">
        <f>I9*0.0925</f>
        <v>0.39927624999999994</v>
      </c>
      <c r="K9" s="137">
        <f>I9</f>
        <v>4.3164999999999996</v>
      </c>
      <c r="M9" s="171"/>
    </row>
    <row r="10" spans="1:15" x14ac:dyDescent="0.35">
      <c r="A10" s="209" t="s">
        <v>254</v>
      </c>
      <c r="B10" s="124">
        <v>45716</v>
      </c>
      <c r="C10" s="137">
        <v>1.1200000000000001</v>
      </c>
      <c r="D10" s="137">
        <v>1.1200000000000001</v>
      </c>
      <c r="E10" s="137">
        <f>IFERROR(AVERAGE(C10:D10),0)</f>
        <v>1.1200000000000001</v>
      </c>
      <c r="F10" s="137">
        <f>E10*$F$5</f>
        <v>1.1200000000000001</v>
      </c>
      <c r="H10" s="137">
        <f>'ANP Óleo Comb'!M8</f>
        <v>5.423</v>
      </c>
      <c r="I10" s="137">
        <f t="shared" si="0"/>
        <v>4.3029999999999999</v>
      </c>
      <c r="J10" s="137">
        <f t="shared" si="1"/>
        <v>0.39802749999999998</v>
      </c>
      <c r="K10" s="137">
        <f>I10</f>
        <v>4.3029999999999999</v>
      </c>
    </row>
    <row r="11" spans="1:15" x14ac:dyDescent="0.35">
      <c r="B11" s="124">
        <v>45747</v>
      </c>
      <c r="C11" s="137">
        <v>1.1200000000000001</v>
      </c>
      <c r="D11" s="137">
        <v>1.1200000000000001</v>
      </c>
      <c r="E11" s="137">
        <f t="shared" si="2"/>
        <v>1.1200000000000001</v>
      </c>
      <c r="F11" s="137">
        <f t="shared" ref="F11:F12" si="3">E11*$F$5</f>
        <v>1.1200000000000001</v>
      </c>
      <c r="H11" s="137">
        <f>'ANP Óleo Comb'!M10</f>
        <v>5.6589999999999998</v>
      </c>
      <c r="I11" s="137">
        <f t="shared" si="0"/>
        <v>4.5389999999999997</v>
      </c>
      <c r="J11" s="137">
        <f t="shared" si="1"/>
        <v>0.41985749999999999</v>
      </c>
      <c r="K11" s="137">
        <f t="shared" ref="K11:K15" si="4">I11</f>
        <v>4.5389999999999997</v>
      </c>
      <c r="M11" s="172"/>
    </row>
    <row r="12" spans="1:15" x14ac:dyDescent="0.35">
      <c r="B12" s="210">
        <v>45748</v>
      </c>
      <c r="C12" s="137">
        <v>1.1200000000000001</v>
      </c>
      <c r="D12" s="137">
        <v>1.1200000000000001</v>
      </c>
      <c r="E12" s="137">
        <f>IFERROR(AVERAGE(C12:D12),0)</f>
        <v>1.1200000000000001</v>
      </c>
      <c r="F12" s="137">
        <f t="shared" si="3"/>
        <v>1.1200000000000001</v>
      </c>
      <c r="H12" s="137">
        <f>'ANP Óleo Comb'!M12</f>
        <v>5.6040000000000001</v>
      </c>
      <c r="I12" s="137">
        <f t="shared" si="0"/>
        <v>4.484</v>
      </c>
      <c r="J12" s="137">
        <f t="shared" si="1"/>
        <v>0.41476999999999997</v>
      </c>
      <c r="K12" s="137">
        <f>I12</f>
        <v>4.484</v>
      </c>
      <c r="O12" s="10"/>
    </row>
    <row r="13" spans="1:15" x14ac:dyDescent="0.35">
      <c r="B13" s="210">
        <v>45778</v>
      </c>
      <c r="C13" s="137">
        <v>1.1200000000000001</v>
      </c>
      <c r="D13" s="137">
        <v>1.1200000000000001</v>
      </c>
      <c r="E13" s="137">
        <f t="shared" si="2"/>
        <v>1.1200000000000001</v>
      </c>
      <c r="F13" s="137">
        <f>E13*100%</f>
        <v>1.1200000000000001</v>
      </c>
      <c r="H13" s="137">
        <f>'ANP Óleo Comb'!M14</f>
        <v>5.3810000000000002</v>
      </c>
      <c r="I13" s="137">
        <f t="shared" si="0"/>
        <v>4.2610000000000001</v>
      </c>
      <c r="J13" s="137">
        <f t="shared" si="1"/>
        <v>0.39414250000000001</v>
      </c>
      <c r="K13" s="137">
        <f t="shared" si="4"/>
        <v>4.2610000000000001</v>
      </c>
      <c r="O13" s="10"/>
    </row>
    <row r="14" spans="1:15" x14ac:dyDescent="0.35">
      <c r="B14" s="210">
        <v>45809</v>
      </c>
      <c r="C14" s="137">
        <v>1.1200000000000001</v>
      </c>
      <c r="D14" s="137">
        <v>1.1200000000000001</v>
      </c>
      <c r="E14" s="137">
        <f t="shared" si="2"/>
        <v>1.1200000000000001</v>
      </c>
      <c r="F14" s="137">
        <f>E14*100%</f>
        <v>1.1200000000000001</v>
      </c>
      <c r="H14" s="137">
        <f>'ANP Óleo Comb'!M16</f>
        <v>5.1710000000000003</v>
      </c>
      <c r="I14" s="137">
        <f t="shared" si="0"/>
        <v>4.0510000000000002</v>
      </c>
      <c r="J14" s="137">
        <f t="shared" si="1"/>
        <v>0.37471750000000004</v>
      </c>
      <c r="K14" s="137">
        <f t="shared" si="4"/>
        <v>4.0510000000000002</v>
      </c>
      <c r="O14" s="10"/>
    </row>
    <row r="15" spans="1:15" x14ac:dyDescent="0.35">
      <c r="B15" s="210">
        <v>45839</v>
      </c>
      <c r="C15" s="137">
        <v>1.1200000000000001</v>
      </c>
      <c r="D15" s="137">
        <v>1.1200000000000001</v>
      </c>
      <c r="E15" s="137">
        <f t="shared" ref="E15" si="5">IFERROR(AVERAGE(C15:D15),0)</f>
        <v>1.1200000000000001</v>
      </c>
      <c r="F15" s="137">
        <f>E15*100%</f>
        <v>1.1200000000000001</v>
      </c>
      <c r="H15" s="137">
        <f>'ANP Óleo Comb'!M18</f>
        <v>5.1710000000000003</v>
      </c>
      <c r="I15" s="137">
        <f t="shared" ref="I15" si="6">H15-F15</f>
        <v>4.0510000000000002</v>
      </c>
      <c r="J15" s="137">
        <f t="shared" ref="J15" si="7">I15*0.0925</f>
        <v>0.37471750000000004</v>
      </c>
      <c r="K15" s="137">
        <f t="shared" si="4"/>
        <v>4.0510000000000002</v>
      </c>
    </row>
    <row r="16" spans="1:15" x14ac:dyDescent="0.35">
      <c r="B16" s="210">
        <v>45870</v>
      </c>
      <c r="C16" s="137">
        <v>1.1200000000000001</v>
      </c>
      <c r="D16" s="137">
        <v>1.1200000000000001</v>
      </c>
      <c r="E16" s="137">
        <f t="shared" ref="E16" si="8">IFERROR(AVERAGE(C16:D16),0)</f>
        <v>1.1200000000000001</v>
      </c>
      <c r="F16" s="137">
        <f>E16*100%</f>
        <v>1.1200000000000001</v>
      </c>
      <c r="H16" s="137">
        <v>5.1749999999999998</v>
      </c>
      <c r="I16" s="137">
        <f>H16-F16</f>
        <v>4.0549999999999997</v>
      </c>
      <c r="J16" s="137">
        <f>I16*0.0925</f>
        <v>0.37508749999999996</v>
      </c>
      <c r="K16" s="137">
        <f>I16</f>
        <v>4.0549999999999997</v>
      </c>
    </row>
    <row r="17" spans="1:15" x14ac:dyDescent="0.35">
      <c r="B17" s="210">
        <v>45901</v>
      </c>
      <c r="C17" s="137">
        <v>1.1200000000000001</v>
      </c>
      <c r="D17" s="137">
        <v>1.1200000000000001</v>
      </c>
      <c r="E17" s="137">
        <f t="shared" si="2"/>
        <v>1.1200000000000001</v>
      </c>
      <c r="F17" s="137">
        <f>E17*100%</f>
        <v>1.1200000000000001</v>
      </c>
      <c r="H17" s="137">
        <f>'ANP Óleo Comb'!M22</f>
        <v>5.1749999999999998</v>
      </c>
      <c r="I17" s="137">
        <f t="shared" ref="I17" si="9">H17-F17</f>
        <v>4.0549999999999997</v>
      </c>
      <c r="J17" s="137">
        <f t="shared" ref="J17" si="10">I17*0.0925</f>
        <v>0.37508749999999996</v>
      </c>
      <c r="K17" s="137">
        <f t="shared" ref="K17" si="11">I17</f>
        <v>4.0549999999999997</v>
      </c>
    </row>
    <row r="18" spans="1:15" x14ac:dyDescent="0.35">
      <c r="B18" s="210">
        <v>45931</v>
      </c>
      <c r="C18" s="137">
        <v>1.1200000000000001</v>
      </c>
      <c r="D18" s="137">
        <v>1.1200000000000001</v>
      </c>
      <c r="E18" s="137">
        <f t="shared" si="2"/>
        <v>1.1200000000000001</v>
      </c>
      <c r="F18" s="137">
        <f t="shared" ref="F18" si="12">E18*$F$5</f>
        <v>1.1200000000000001</v>
      </c>
      <c r="H18" s="137">
        <f>'ANP Óleo Comb'!M24</f>
        <v>5.2350000000000003</v>
      </c>
      <c r="I18" s="137">
        <f t="shared" ref="I18:I20" si="13">H18-F18</f>
        <v>4.1150000000000002</v>
      </c>
      <c r="J18" s="137">
        <f t="shared" ref="J18" si="14">I18*0.0925</f>
        <v>0.38063750000000002</v>
      </c>
      <c r="K18" s="137">
        <f>I18</f>
        <v>4.1150000000000002</v>
      </c>
    </row>
    <row r="19" spans="1:15" x14ac:dyDescent="0.35">
      <c r="B19" s="210">
        <v>45962</v>
      </c>
      <c r="C19" s="137">
        <v>1.1200000000000001</v>
      </c>
      <c r="D19" s="137">
        <v>1.1200000000000001</v>
      </c>
      <c r="E19" s="137">
        <f>IFERROR(AVERAGE(C19:D19),0)</f>
        <v>1.1200000000000001</v>
      </c>
      <c r="F19" s="137">
        <f>E19*$F$5</f>
        <v>1.1200000000000001</v>
      </c>
      <c r="H19" s="137">
        <f>'ANP Óleo Comb'!M26</f>
        <v>5.2350000000000003</v>
      </c>
      <c r="I19" s="137">
        <f>H19-F19</f>
        <v>4.1150000000000002</v>
      </c>
      <c r="J19" s="137">
        <f>I19*0.0925</f>
        <v>0.38063750000000002</v>
      </c>
      <c r="K19" s="137">
        <f>I19</f>
        <v>4.1150000000000002</v>
      </c>
    </row>
    <row r="20" spans="1:15" x14ac:dyDescent="0.35">
      <c r="B20" s="210">
        <v>45992</v>
      </c>
      <c r="C20" s="137">
        <v>1.1200000000000001</v>
      </c>
      <c r="D20" s="137">
        <v>1.1200000000000001</v>
      </c>
      <c r="E20" s="137">
        <f>IFERROR(AVERAGE(C20:D20),0)</f>
        <v>1.1200000000000001</v>
      </c>
      <c r="F20" s="137">
        <f>E20*$F$5</f>
        <v>1.1200000000000001</v>
      </c>
      <c r="H20" s="137">
        <f>'ANP Óleo Comb'!M28</f>
        <v>5.2510000000000003</v>
      </c>
      <c r="I20" s="137">
        <f t="shared" si="13"/>
        <v>4.1310000000000002</v>
      </c>
      <c r="J20" s="137">
        <f>I20*0.0925</f>
        <v>0.3821175</v>
      </c>
      <c r="K20" s="137">
        <f>I20</f>
        <v>4.1310000000000002</v>
      </c>
    </row>
    <row r="22" spans="1:15" x14ac:dyDescent="0.35">
      <c r="A22" s="209" t="s">
        <v>252</v>
      </c>
      <c r="B22" t="s">
        <v>253</v>
      </c>
      <c r="C22" s="178"/>
    </row>
    <row r="23" spans="1:15" x14ac:dyDescent="0.35">
      <c r="A23" s="209" t="s">
        <v>254</v>
      </c>
      <c r="B23" t="s">
        <v>255</v>
      </c>
      <c r="C23" s="178"/>
    </row>
    <row r="25" spans="1:15" ht="27" customHeight="1" x14ac:dyDescent="0.35">
      <c r="B25" s="283"/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</row>
    <row r="28" spans="1:15" x14ac:dyDescent="0.35">
      <c r="B28" s="61"/>
      <c r="C28" s="170"/>
      <c r="D28" s="61"/>
      <c r="E28" s="61"/>
      <c r="F28" s="61"/>
      <c r="G28" s="61"/>
      <c r="H28" s="61"/>
      <c r="I28" s="61"/>
      <c r="J28" s="61"/>
    </row>
    <row r="29" spans="1:15" x14ac:dyDescent="0.35">
      <c r="B29" s="61"/>
      <c r="C29" s="170"/>
      <c r="D29" s="61"/>
      <c r="E29" s="61"/>
      <c r="F29" s="61"/>
      <c r="G29" s="61"/>
      <c r="H29" s="61"/>
      <c r="I29" s="61"/>
      <c r="J29" s="61"/>
    </row>
  </sheetData>
  <mergeCells count="4">
    <mergeCell ref="B1:O3"/>
    <mergeCell ref="C6:F6"/>
    <mergeCell ref="H6:K6"/>
    <mergeCell ref="B25:O25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11:F11 E8:E10 E12:E13 E18:F20 E14:E1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N70"/>
  <sheetViews>
    <sheetView showGridLines="0" topLeftCell="A3" workbookViewId="0">
      <selection activeCell="F67" sqref="F67:F68"/>
    </sheetView>
  </sheetViews>
  <sheetFormatPr defaultColWidth="9.1796875" defaultRowHeight="14.5" outlineLevelRow="1" x14ac:dyDescent="0.35"/>
  <cols>
    <col min="1" max="1" width="3.81640625" customWidth="1"/>
    <col min="3" max="3" width="10.7265625" style="47" customWidth="1"/>
    <col min="4" max="4" width="20.54296875" style="22" bestFit="1" customWidth="1"/>
    <col min="5" max="5" width="11" style="23" customWidth="1"/>
    <col min="6" max="6" width="20.54296875" style="21" bestFit="1" customWidth="1"/>
    <col min="7" max="7" width="12.1796875" style="21" bestFit="1" customWidth="1"/>
  </cols>
  <sheetData>
    <row r="1" spans="2:14" ht="15" customHeight="1" x14ac:dyDescent="0.35">
      <c r="B1" s="285" t="s">
        <v>202</v>
      </c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48"/>
      <c r="N1" s="48"/>
    </row>
    <row r="2" spans="2:14" ht="15" customHeight="1" x14ac:dyDescent="0.35"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48"/>
      <c r="N2" s="48"/>
    </row>
    <row r="3" spans="2:14" ht="18.75" customHeight="1" x14ac:dyDescent="0.35"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48"/>
      <c r="N3" s="48"/>
    </row>
    <row r="4" spans="2:14" s="3" customFormat="1" ht="15" customHeight="1" x14ac:dyDescent="0.35">
      <c r="C4" s="286" t="s">
        <v>203</v>
      </c>
      <c r="D4" s="286"/>
      <c r="E4" s="286"/>
      <c r="F4" s="286"/>
      <c r="G4" s="286"/>
      <c r="H4" s="286"/>
      <c r="I4" s="286"/>
      <c r="J4" s="286"/>
      <c r="K4" s="286"/>
      <c r="L4" s="286"/>
    </row>
    <row r="5" spans="2:14" s="3" customFormat="1" x14ac:dyDescent="0.35">
      <c r="C5" s="286"/>
      <c r="D5" s="286"/>
      <c r="E5" s="286"/>
      <c r="F5" s="286"/>
      <c r="G5" s="286"/>
      <c r="H5" s="286"/>
      <c r="I5" s="286"/>
      <c r="J5" s="286"/>
      <c r="K5" s="286"/>
      <c r="L5" s="286"/>
    </row>
    <row r="6" spans="2:14" s="3" customFormat="1" x14ac:dyDescent="0.35">
      <c r="C6" s="286"/>
      <c r="D6" s="286"/>
      <c r="E6" s="286"/>
      <c r="F6" s="286"/>
      <c r="G6" s="286"/>
      <c r="H6" s="286"/>
      <c r="I6" s="286"/>
      <c r="J6" s="286"/>
      <c r="K6" s="286"/>
      <c r="L6" s="286"/>
    </row>
    <row r="7" spans="2:14" s="3" customFormat="1" x14ac:dyDescent="0.35">
      <c r="C7" s="43"/>
      <c r="D7" s="44"/>
      <c r="E7" s="45"/>
      <c r="F7" s="46"/>
      <c r="G7" s="46"/>
    </row>
    <row r="8" spans="2:14" s="3" customFormat="1" ht="29" x14ac:dyDescent="0.35">
      <c r="C8" s="74" t="s">
        <v>196</v>
      </c>
      <c r="D8" s="63" t="s">
        <v>198</v>
      </c>
      <c r="E8" s="63" t="s">
        <v>199</v>
      </c>
      <c r="F8" s="64" t="s">
        <v>200</v>
      </c>
    </row>
    <row r="9" spans="2:14" hidden="1" outlineLevel="1" x14ac:dyDescent="0.35">
      <c r="B9" s="284">
        <v>2018</v>
      </c>
      <c r="C9" s="146">
        <v>43131</v>
      </c>
      <c r="D9" s="147">
        <v>183920</v>
      </c>
      <c r="E9" s="148">
        <v>178231.4</v>
      </c>
      <c r="F9" s="149">
        <f>D9-E9</f>
        <v>5688.6000000000058</v>
      </c>
      <c r="G9"/>
    </row>
    <row r="10" spans="2:14" hidden="1" outlineLevel="1" x14ac:dyDescent="0.35">
      <c r="B10" s="284"/>
      <c r="C10" s="146">
        <v>43159</v>
      </c>
      <c r="D10" s="147">
        <v>183920</v>
      </c>
      <c r="E10" s="148">
        <v>151453.20000000001</v>
      </c>
      <c r="F10" s="149">
        <f t="shared" ref="F10:F19" si="0">F9+D10-E10</f>
        <v>38155.399999999994</v>
      </c>
      <c r="G10"/>
    </row>
    <row r="11" spans="2:14" hidden="1" outlineLevel="1" x14ac:dyDescent="0.35">
      <c r="B11" s="284"/>
      <c r="C11" s="146">
        <v>43190</v>
      </c>
      <c r="D11" s="147">
        <v>183920</v>
      </c>
      <c r="E11" s="148">
        <v>255761.5</v>
      </c>
      <c r="F11" s="149">
        <f t="shared" si="0"/>
        <v>-33686.100000000006</v>
      </c>
      <c r="G11"/>
    </row>
    <row r="12" spans="2:14" hidden="1" outlineLevel="1" x14ac:dyDescent="0.35">
      <c r="B12" s="284"/>
      <c r="C12" s="146">
        <v>43220</v>
      </c>
      <c r="D12" s="147">
        <v>183920</v>
      </c>
      <c r="E12" s="148">
        <v>121526.8</v>
      </c>
      <c r="F12" s="149">
        <f t="shared" si="0"/>
        <v>28707.099999999991</v>
      </c>
      <c r="G12"/>
    </row>
    <row r="13" spans="2:14" hidden="1" outlineLevel="1" x14ac:dyDescent="0.35">
      <c r="B13" s="284"/>
      <c r="C13" s="146">
        <v>43251</v>
      </c>
      <c r="D13" s="147">
        <v>183920</v>
      </c>
      <c r="E13" s="148">
        <v>203739.5</v>
      </c>
      <c r="F13" s="149">
        <f t="shared" si="0"/>
        <v>8887.5999999999767</v>
      </c>
      <c r="G13"/>
    </row>
    <row r="14" spans="2:14" hidden="1" outlineLevel="1" x14ac:dyDescent="0.35">
      <c r="B14" s="284"/>
      <c r="C14" s="146">
        <v>43281</v>
      </c>
      <c r="D14" s="147">
        <v>183920</v>
      </c>
      <c r="E14" s="148">
        <v>269418.09999999998</v>
      </c>
      <c r="F14" s="149">
        <f t="shared" si="0"/>
        <v>-76610.5</v>
      </c>
      <c r="G14"/>
    </row>
    <row r="15" spans="2:14" hidden="1" outlineLevel="1" x14ac:dyDescent="0.35">
      <c r="B15" s="284"/>
      <c r="C15" s="146">
        <v>43312</v>
      </c>
      <c r="D15" s="147">
        <v>183920</v>
      </c>
      <c r="E15" s="148">
        <v>336625.7</v>
      </c>
      <c r="F15" s="149">
        <f t="shared" si="0"/>
        <v>-229316.2</v>
      </c>
      <c r="G15"/>
    </row>
    <row r="16" spans="2:14" hidden="1" outlineLevel="1" x14ac:dyDescent="0.35">
      <c r="B16" s="284"/>
      <c r="C16" s="146">
        <v>43343</v>
      </c>
      <c r="D16" s="147">
        <v>183920</v>
      </c>
      <c r="E16" s="148">
        <v>334319.40000000002</v>
      </c>
      <c r="F16" s="149">
        <f t="shared" si="0"/>
        <v>-379715.60000000003</v>
      </c>
      <c r="G16"/>
    </row>
    <row r="17" spans="2:7" hidden="1" outlineLevel="1" x14ac:dyDescent="0.35">
      <c r="B17" s="284"/>
      <c r="C17" s="146">
        <v>43373</v>
      </c>
      <c r="D17" s="147">
        <v>183920</v>
      </c>
      <c r="E17" s="148">
        <v>240897</v>
      </c>
      <c r="F17" s="149">
        <f t="shared" si="0"/>
        <v>-436692.60000000003</v>
      </c>
      <c r="G17"/>
    </row>
    <row r="18" spans="2:7" hidden="1" outlineLevel="1" x14ac:dyDescent="0.35">
      <c r="B18" s="284"/>
      <c r="C18" s="146">
        <v>43404</v>
      </c>
      <c r="D18" s="147">
        <v>183920</v>
      </c>
      <c r="E18" s="148">
        <v>289220.3</v>
      </c>
      <c r="F18" s="149">
        <f t="shared" si="0"/>
        <v>-541992.9</v>
      </c>
      <c r="G18"/>
    </row>
    <row r="19" spans="2:7" hidden="1" outlineLevel="1" x14ac:dyDescent="0.35">
      <c r="B19" s="284"/>
      <c r="C19" s="146">
        <v>43434</v>
      </c>
      <c r="D19" s="147">
        <v>183920</v>
      </c>
      <c r="E19" s="148">
        <v>105697.29999999999</v>
      </c>
      <c r="F19" s="149">
        <f t="shared" si="0"/>
        <v>-463770.2</v>
      </c>
      <c r="G19"/>
    </row>
    <row r="20" spans="2:7" hidden="1" outlineLevel="1" x14ac:dyDescent="0.35">
      <c r="B20" s="284"/>
      <c r="C20" s="146">
        <v>43465</v>
      </c>
      <c r="D20" s="147">
        <v>183920</v>
      </c>
      <c r="E20" s="148">
        <v>165863.9</v>
      </c>
      <c r="F20" s="150">
        <f>IF(F19+D20-E20&lt;0,0,F19+D20-E20)</f>
        <v>0</v>
      </c>
      <c r="G20"/>
    </row>
    <row r="21" spans="2:7" hidden="1" outlineLevel="1" collapsed="1" x14ac:dyDescent="0.35">
      <c r="B21" s="284">
        <v>2019</v>
      </c>
      <c r="C21" s="146">
        <v>43496</v>
      </c>
      <c r="D21" s="147">
        <v>180980</v>
      </c>
      <c r="E21" s="148">
        <v>210363.41999999995</v>
      </c>
      <c r="F21" s="149">
        <f>D21-E21</f>
        <v>-29383.419999999955</v>
      </c>
      <c r="G21"/>
    </row>
    <row r="22" spans="2:7" hidden="1" outlineLevel="1" x14ac:dyDescent="0.35">
      <c r="B22" s="284"/>
      <c r="C22" s="146">
        <v>43524</v>
      </c>
      <c r="D22" s="147">
        <v>180980</v>
      </c>
      <c r="E22" s="148">
        <v>201928.83000000002</v>
      </c>
      <c r="F22" s="149">
        <f t="shared" ref="F22:F31" si="1">F21+D22-E22</f>
        <v>-50332.249999999971</v>
      </c>
      <c r="G22"/>
    </row>
    <row r="23" spans="2:7" hidden="1" outlineLevel="1" x14ac:dyDescent="0.35">
      <c r="B23" s="284"/>
      <c r="C23" s="146">
        <v>43555</v>
      </c>
      <c r="D23" s="147">
        <v>180980</v>
      </c>
      <c r="E23" s="148">
        <v>214909.96999999997</v>
      </c>
      <c r="F23" s="149">
        <f t="shared" si="1"/>
        <v>-84262.219999999943</v>
      </c>
      <c r="G23"/>
    </row>
    <row r="24" spans="2:7" hidden="1" outlineLevel="1" x14ac:dyDescent="0.35">
      <c r="B24" s="284"/>
      <c r="C24" s="146">
        <v>43585</v>
      </c>
      <c r="D24" s="147">
        <v>180980</v>
      </c>
      <c r="E24" s="148">
        <v>143375.65000000002</v>
      </c>
      <c r="F24" s="149">
        <f t="shared" si="1"/>
        <v>-46657.869999999966</v>
      </c>
      <c r="G24"/>
    </row>
    <row r="25" spans="2:7" hidden="1" outlineLevel="1" x14ac:dyDescent="0.35">
      <c r="B25" s="284"/>
      <c r="C25" s="146">
        <v>43616</v>
      </c>
      <c r="D25" s="147">
        <v>180980</v>
      </c>
      <c r="E25" s="148">
        <v>166553.79999999999</v>
      </c>
      <c r="F25" s="149">
        <f t="shared" si="1"/>
        <v>-32231.669999999955</v>
      </c>
      <c r="G25"/>
    </row>
    <row r="26" spans="2:7" hidden="1" outlineLevel="1" x14ac:dyDescent="0.35">
      <c r="B26" s="284"/>
      <c r="C26" s="146">
        <v>43646</v>
      </c>
      <c r="D26" s="147">
        <v>180980</v>
      </c>
      <c r="E26" s="148">
        <v>140430.49999999994</v>
      </c>
      <c r="F26" s="149">
        <f t="shared" si="1"/>
        <v>8317.8300000001036</v>
      </c>
      <c r="G26"/>
    </row>
    <row r="27" spans="2:7" hidden="1" outlineLevel="1" x14ac:dyDescent="0.35">
      <c r="B27" s="284"/>
      <c r="C27" s="146">
        <v>43677</v>
      </c>
      <c r="D27" s="147">
        <v>180980</v>
      </c>
      <c r="E27" s="148">
        <v>273438.10000000009</v>
      </c>
      <c r="F27" s="149">
        <f t="shared" si="1"/>
        <v>-84140.26999999999</v>
      </c>
      <c r="G27"/>
    </row>
    <row r="28" spans="2:7" hidden="1" outlineLevel="1" x14ac:dyDescent="0.35">
      <c r="B28" s="284"/>
      <c r="C28" s="146">
        <v>43708</v>
      </c>
      <c r="D28" s="147">
        <v>180980</v>
      </c>
      <c r="E28" s="148">
        <v>324697.80000000016</v>
      </c>
      <c r="F28" s="149">
        <f t="shared" si="1"/>
        <v>-227858.07000000015</v>
      </c>
      <c r="G28"/>
    </row>
    <row r="29" spans="2:7" hidden="1" outlineLevel="1" x14ac:dyDescent="0.35">
      <c r="B29" s="284"/>
      <c r="C29" s="146">
        <v>43738</v>
      </c>
      <c r="D29" s="147">
        <v>180980</v>
      </c>
      <c r="E29" s="148">
        <v>254111.00000000006</v>
      </c>
      <c r="F29" s="149">
        <f t="shared" si="1"/>
        <v>-300989.07000000018</v>
      </c>
      <c r="G29"/>
    </row>
    <row r="30" spans="2:7" hidden="1" outlineLevel="1" x14ac:dyDescent="0.35">
      <c r="B30" s="284"/>
      <c r="C30" s="146">
        <v>43769</v>
      </c>
      <c r="D30" s="147">
        <v>180980</v>
      </c>
      <c r="E30" s="148">
        <v>264420.59999999986</v>
      </c>
      <c r="F30" s="149">
        <f t="shared" si="1"/>
        <v>-384429.67000000004</v>
      </c>
      <c r="G30"/>
    </row>
    <row r="31" spans="2:7" hidden="1" outlineLevel="1" x14ac:dyDescent="0.35">
      <c r="B31" s="284"/>
      <c r="C31" s="146">
        <v>43799</v>
      </c>
      <c r="D31" s="147">
        <v>180980</v>
      </c>
      <c r="E31" s="148">
        <v>278014.70000000007</v>
      </c>
      <c r="F31" s="149">
        <f t="shared" si="1"/>
        <v>-481464.37000000011</v>
      </c>
      <c r="G31"/>
    </row>
    <row r="32" spans="2:7" hidden="1" outlineLevel="1" x14ac:dyDescent="0.35">
      <c r="B32" s="284"/>
      <c r="C32" s="146">
        <v>43830</v>
      </c>
      <c r="D32" s="147">
        <v>180980</v>
      </c>
      <c r="E32" s="148">
        <v>207562.3</v>
      </c>
      <c r="F32" s="150">
        <f>IF(F31+D32-E32&lt;0,0,F31+D32-E32)</f>
        <v>0</v>
      </c>
      <c r="G32"/>
    </row>
    <row r="33" spans="2:12" hidden="1" outlineLevel="1" x14ac:dyDescent="0.35">
      <c r="B33" s="284">
        <v>2020</v>
      </c>
      <c r="C33" s="146">
        <v>43861</v>
      </c>
      <c r="D33" s="147">
        <v>182600</v>
      </c>
      <c r="E33" s="148">
        <v>344589.19999999995</v>
      </c>
      <c r="F33" s="149">
        <f>D33-E33</f>
        <v>-161989.19999999995</v>
      </c>
      <c r="G33"/>
    </row>
    <row r="34" spans="2:12" hidden="1" outlineLevel="1" x14ac:dyDescent="0.35">
      <c r="B34" s="284"/>
      <c r="C34" s="146">
        <v>43890</v>
      </c>
      <c r="D34" s="147">
        <v>182600</v>
      </c>
      <c r="E34" s="148">
        <v>214864.4</v>
      </c>
      <c r="F34" s="149">
        <f>F33+D34-E34</f>
        <v>-194253.59999999995</v>
      </c>
      <c r="G34"/>
    </row>
    <row r="35" spans="2:12" hidden="1" outlineLevel="1" x14ac:dyDescent="0.35">
      <c r="B35" s="284"/>
      <c r="C35" s="146">
        <v>43921</v>
      </c>
      <c r="D35" s="147">
        <v>182600</v>
      </c>
      <c r="E35" s="148">
        <v>247542.3</v>
      </c>
      <c r="F35" s="149">
        <f>F34+D35-E35</f>
        <v>-259195.89999999994</v>
      </c>
      <c r="G35"/>
    </row>
    <row r="36" spans="2:12" hidden="1" outlineLevel="1" x14ac:dyDescent="0.35">
      <c r="B36" s="284"/>
      <c r="C36" s="146">
        <v>43951</v>
      </c>
      <c r="D36" s="147">
        <v>182600</v>
      </c>
      <c r="E36" s="148">
        <v>76477</v>
      </c>
      <c r="F36" s="149">
        <f>F35+D36-E36</f>
        <v>-153072.89999999994</v>
      </c>
      <c r="G36"/>
    </row>
    <row r="37" spans="2:12" hidden="1" outlineLevel="1" x14ac:dyDescent="0.35">
      <c r="B37" s="284"/>
      <c r="C37" s="146">
        <v>43982</v>
      </c>
      <c r="D37" s="147">
        <v>182600</v>
      </c>
      <c r="E37" s="148">
        <v>99094.799999999988</v>
      </c>
      <c r="F37" s="149">
        <f t="shared" ref="F37:F43" si="2">F36+D37-E37</f>
        <v>-69567.699999999924</v>
      </c>
      <c r="G37"/>
    </row>
    <row r="38" spans="2:12" hidden="1" outlineLevel="1" x14ac:dyDescent="0.35">
      <c r="B38" s="284"/>
      <c r="C38" s="146">
        <v>44012</v>
      </c>
      <c r="D38" s="147">
        <v>182600</v>
      </c>
      <c r="E38" s="148">
        <v>202346.30000000002</v>
      </c>
      <c r="F38" s="149">
        <f t="shared" si="2"/>
        <v>-89313.999999999942</v>
      </c>
      <c r="G38"/>
    </row>
    <row r="39" spans="2:12" hidden="1" outlineLevel="1" x14ac:dyDescent="0.35">
      <c r="B39" s="284"/>
      <c r="C39" s="146">
        <v>44043</v>
      </c>
      <c r="D39" s="147">
        <v>182600</v>
      </c>
      <c r="E39" s="148">
        <v>276405.3</v>
      </c>
      <c r="F39" s="149">
        <f t="shared" si="2"/>
        <v>-183119.29999999993</v>
      </c>
      <c r="G39"/>
    </row>
    <row r="40" spans="2:12" hidden="1" outlineLevel="1" x14ac:dyDescent="0.35">
      <c r="B40" s="284"/>
      <c r="C40" s="146">
        <v>44074</v>
      </c>
      <c r="D40" s="147">
        <v>182600</v>
      </c>
      <c r="E40" s="148">
        <v>205893</v>
      </c>
      <c r="F40" s="149">
        <f t="shared" si="2"/>
        <v>-206412.29999999993</v>
      </c>
      <c r="G40"/>
    </row>
    <row r="41" spans="2:12" hidden="1" outlineLevel="1" x14ac:dyDescent="0.35">
      <c r="B41" s="284"/>
      <c r="C41" s="146">
        <v>44104</v>
      </c>
      <c r="D41" s="147">
        <v>182600</v>
      </c>
      <c r="E41" s="148">
        <v>148831.79999999999</v>
      </c>
      <c r="F41" s="149">
        <f t="shared" si="2"/>
        <v>-172644.09999999992</v>
      </c>
      <c r="G41"/>
    </row>
    <row r="42" spans="2:12" hidden="1" outlineLevel="1" x14ac:dyDescent="0.35">
      <c r="B42" s="284"/>
      <c r="C42" s="146">
        <v>44135</v>
      </c>
      <c r="D42" s="147">
        <v>182600</v>
      </c>
      <c r="E42" s="148">
        <v>329044.59999999998</v>
      </c>
      <c r="F42" s="149">
        <f t="shared" si="2"/>
        <v>-319088.6999999999</v>
      </c>
      <c r="G42"/>
    </row>
    <row r="43" spans="2:12" hidden="1" outlineLevel="1" x14ac:dyDescent="0.35">
      <c r="B43" s="284"/>
      <c r="C43" s="146">
        <v>44165</v>
      </c>
      <c r="D43" s="147">
        <v>182600</v>
      </c>
      <c r="E43" s="148">
        <v>309576.40000000002</v>
      </c>
      <c r="F43" s="149">
        <f t="shared" si="2"/>
        <v>-446065.09999999992</v>
      </c>
      <c r="G43"/>
    </row>
    <row r="44" spans="2:12" hidden="1" outlineLevel="1" x14ac:dyDescent="0.35">
      <c r="B44" s="284"/>
      <c r="C44" s="146">
        <v>44196</v>
      </c>
      <c r="D44" s="147">
        <v>182600</v>
      </c>
      <c r="E44" s="148">
        <v>260164.5</v>
      </c>
      <c r="F44" s="150">
        <f>IF(F43+D44-E44&lt;0,0,F43+D44-E44)</f>
        <v>0</v>
      </c>
      <c r="G44"/>
    </row>
    <row r="45" spans="2:12" hidden="1" outlineLevel="1" x14ac:dyDescent="0.35">
      <c r="B45" s="284">
        <v>2021</v>
      </c>
      <c r="C45" s="146">
        <v>44227</v>
      </c>
      <c r="D45" s="147">
        <v>183123.82129058978</v>
      </c>
      <c r="E45" s="148">
        <v>315839.8</v>
      </c>
      <c r="F45" s="149">
        <f>D45-E45</f>
        <v>-132715.97870941021</v>
      </c>
    </row>
    <row r="46" spans="2:12" ht="15" hidden="1" customHeight="1" outlineLevel="1" x14ac:dyDescent="0.35">
      <c r="B46" s="284"/>
      <c r="C46" s="146">
        <v>44255</v>
      </c>
      <c r="D46" s="147">
        <v>183123.82129058972</v>
      </c>
      <c r="E46" s="148">
        <v>260322.3</v>
      </c>
      <c r="F46" s="149">
        <f>F45+D46-E46</f>
        <v>-209914.45741882047</v>
      </c>
      <c r="G46" s="49"/>
      <c r="H46" s="49"/>
      <c r="I46" s="49"/>
      <c r="J46" s="49"/>
      <c r="K46" s="49"/>
      <c r="L46" s="49"/>
    </row>
    <row r="47" spans="2:12" hidden="1" outlineLevel="1" x14ac:dyDescent="0.35">
      <c r="B47" s="284"/>
      <c r="C47" s="146">
        <v>44286</v>
      </c>
      <c r="D47" s="147">
        <v>183123.82129058972</v>
      </c>
      <c r="E47" s="148">
        <v>292692.19999999995</v>
      </c>
      <c r="F47" s="149">
        <f>F46+D47-E47</f>
        <v>-319482.83612823067</v>
      </c>
      <c r="G47" s="49"/>
      <c r="H47" s="49"/>
      <c r="I47" s="49"/>
      <c r="J47" s="49"/>
      <c r="K47" s="49"/>
      <c r="L47" s="49"/>
    </row>
    <row r="48" spans="2:12" hidden="1" outlineLevel="1" x14ac:dyDescent="0.35">
      <c r="B48" s="284"/>
      <c r="C48" s="146">
        <v>44316</v>
      </c>
      <c r="D48" s="147">
        <v>183123.82129058972</v>
      </c>
      <c r="E48" s="148">
        <v>181309.80000000002</v>
      </c>
      <c r="F48" s="149">
        <f>F47+D48-E48</f>
        <v>-317668.81483764097</v>
      </c>
      <c r="G48" s="49"/>
      <c r="H48" s="49"/>
      <c r="I48" s="49"/>
      <c r="J48" s="49"/>
      <c r="K48" s="49"/>
      <c r="L48" s="49"/>
    </row>
    <row r="49" spans="2:6" hidden="1" outlineLevel="1" x14ac:dyDescent="0.35">
      <c r="B49" s="284"/>
      <c r="C49" s="146">
        <v>44347</v>
      </c>
      <c r="D49" s="147">
        <v>183123.82129058972</v>
      </c>
      <c r="E49" s="148">
        <v>187406.9</v>
      </c>
      <c r="F49" s="149">
        <f t="shared" ref="F49:F55" si="3">F48+D49-E49</f>
        <v>-321951.89354705124</v>
      </c>
    </row>
    <row r="50" spans="2:6" hidden="1" outlineLevel="1" x14ac:dyDescent="0.35">
      <c r="B50" s="284"/>
      <c r="C50" s="146">
        <v>44377</v>
      </c>
      <c r="D50" s="147">
        <v>183123.82129058972</v>
      </c>
      <c r="E50" s="148">
        <v>204073.8</v>
      </c>
      <c r="F50" s="149">
        <f t="shared" si="3"/>
        <v>-342901.87225646153</v>
      </c>
    </row>
    <row r="51" spans="2:6" hidden="1" outlineLevel="1" x14ac:dyDescent="0.35">
      <c r="B51" s="284"/>
      <c r="C51" s="146">
        <v>44408</v>
      </c>
      <c r="D51" s="147">
        <v>183123.82129058972</v>
      </c>
      <c r="E51" s="148">
        <v>217687.9</v>
      </c>
      <c r="F51" s="149">
        <f t="shared" si="3"/>
        <v>-377465.9509658718</v>
      </c>
    </row>
    <row r="52" spans="2:6" hidden="1" outlineLevel="1" x14ac:dyDescent="0.35">
      <c r="B52" s="284"/>
      <c r="C52" s="146">
        <v>44439</v>
      </c>
      <c r="D52" s="147">
        <v>183123.82129058972</v>
      </c>
      <c r="E52" s="148">
        <v>308190.40000000002</v>
      </c>
      <c r="F52" s="149">
        <f t="shared" si="3"/>
        <v>-502532.52967528207</v>
      </c>
    </row>
    <row r="53" spans="2:6" hidden="1" outlineLevel="1" x14ac:dyDescent="0.35">
      <c r="B53" s="284"/>
      <c r="C53" s="146">
        <v>44469</v>
      </c>
      <c r="D53" s="147">
        <v>183123.82129058972</v>
      </c>
      <c r="E53" s="148">
        <v>333494.09999999998</v>
      </c>
      <c r="F53" s="149">
        <f t="shared" si="3"/>
        <v>-652902.8083846923</v>
      </c>
    </row>
    <row r="54" spans="2:6" hidden="1" outlineLevel="1" x14ac:dyDescent="0.35">
      <c r="B54" s="284"/>
      <c r="C54" s="146">
        <v>44500</v>
      </c>
      <c r="D54" s="147">
        <v>183123.82129058972</v>
      </c>
      <c r="E54" s="148">
        <v>326833.5</v>
      </c>
      <c r="F54" s="149">
        <f t="shared" si="3"/>
        <v>-796612.48709410254</v>
      </c>
    </row>
    <row r="55" spans="2:6" hidden="1" outlineLevel="1" x14ac:dyDescent="0.35">
      <c r="B55" s="284"/>
      <c r="C55" s="146">
        <v>44530</v>
      </c>
      <c r="D55" s="147">
        <v>183123.82129058972</v>
      </c>
      <c r="E55" s="148">
        <v>301705.3</v>
      </c>
      <c r="F55" s="149">
        <f t="shared" si="3"/>
        <v>-915193.96580351284</v>
      </c>
    </row>
    <row r="56" spans="2:6" hidden="1" outlineLevel="1" x14ac:dyDescent="0.35">
      <c r="B56" s="284"/>
      <c r="C56" s="146">
        <v>44561</v>
      </c>
      <c r="D56" s="147">
        <v>183123.82129058972</v>
      </c>
      <c r="E56" s="148">
        <v>263760.55</v>
      </c>
      <c r="F56" s="150">
        <f>IF(F55+D56-E56&lt;0,0,F55+D56-E56)</f>
        <v>0</v>
      </c>
    </row>
    <row r="57" spans="2:6" collapsed="1" x14ac:dyDescent="0.35">
      <c r="B57" s="284">
        <v>2025</v>
      </c>
      <c r="C57" s="99">
        <v>45688</v>
      </c>
      <c r="D57" s="147">
        <f>Parâmetros!$D$8*Parâmetros!$D$6</f>
        <v>190759.6</v>
      </c>
      <c r="E57" s="148">
        <f>VLOOKUP(C57,SCD!$B$6:$J$65,4,0)*Parâmetros!$D$6</f>
        <v>158559.57027960001</v>
      </c>
      <c r="F57" s="149">
        <f>D57-E57</f>
        <v>32200.029720399994</v>
      </c>
    </row>
    <row r="58" spans="2:6" x14ac:dyDescent="0.35">
      <c r="B58" s="284"/>
      <c r="C58" s="99">
        <v>45716</v>
      </c>
      <c r="D58" s="147">
        <f>Parâmetros!$D$8*Parâmetros!$D$6</f>
        <v>190759.6</v>
      </c>
      <c r="E58" s="148">
        <f>VLOOKUP(C58,SCD!$B$6:$J$65,4,0)*Parâmetros!$D$6</f>
        <v>273847.5190346</v>
      </c>
      <c r="F58" s="149">
        <f>F57+D58-E58</f>
        <v>-50887.889314200002</v>
      </c>
    </row>
    <row r="59" spans="2:6" x14ac:dyDescent="0.35">
      <c r="B59" s="284"/>
      <c r="C59" s="99">
        <v>45747</v>
      </c>
      <c r="D59" s="147">
        <f>Parâmetros!$D$8*Parâmetros!$D$6</f>
        <v>190759.6</v>
      </c>
      <c r="E59" s="148">
        <f>VLOOKUP(C59,SCD!$B$6:$J$65,4,0)*Parâmetros!$D$6</f>
        <v>151658.55561020001</v>
      </c>
      <c r="F59" s="149">
        <f>F58+D59-E59</f>
        <v>-11786.844924400008</v>
      </c>
    </row>
    <row r="60" spans="2:6" x14ac:dyDescent="0.35">
      <c r="B60" s="284"/>
      <c r="C60" s="181">
        <v>45748</v>
      </c>
      <c r="D60" s="147">
        <f>Parâmetros!$D$8*Parâmetros!$D$6</f>
        <v>190759.6</v>
      </c>
      <c r="E60" s="148">
        <f>VLOOKUP(C60,SCD!$B$6:$J$65,4,0)*Parâmetros!$D$6</f>
        <v>148135.60731739999</v>
      </c>
      <c r="F60" s="149">
        <f>F59+D60-E60</f>
        <v>30837.147758200008</v>
      </c>
    </row>
    <row r="61" spans="2:6" x14ac:dyDescent="0.35">
      <c r="B61" s="284"/>
      <c r="C61" s="67">
        <v>45808</v>
      </c>
      <c r="D61" s="147">
        <f>Parâmetros!$D$8*Parâmetros!$D$6</f>
        <v>190759.6</v>
      </c>
      <c r="E61" s="148">
        <f>VLOOKUP(C61,SCD!$B$6:$J$65,4,0)*Parâmetros!$D$6</f>
        <v>157176.849319</v>
      </c>
      <c r="F61" s="149">
        <f>F60+D61-E61</f>
        <v>64419.898439200013</v>
      </c>
    </row>
    <row r="62" spans="2:6" x14ac:dyDescent="0.35">
      <c r="B62" s="284"/>
      <c r="C62" s="67">
        <v>45809</v>
      </c>
      <c r="D62" s="147">
        <f>Parâmetros!$D$8*Parâmetros!$D$6</f>
        <v>190759.6</v>
      </c>
      <c r="E62" s="148">
        <f>VLOOKUP(C62,SCD!$B$6:$J$65,4,0)*Parâmetros!$D$6</f>
        <v>274704.31577799999</v>
      </c>
      <c r="F62" s="149">
        <f>F61+D62-E62</f>
        <v>-19524.81733879997</v>
      </c>
    </row>
    <row r="63" spans="2:6" x14ac:dyDescent="0.35">
      <c r="B63" s="284"/>
      <c r="C63" s="67">
        <v>45869</v>
      </c>
      <c r="D63" s="147">
        <f>Parâmetros!$D$8*Parâmetros!$D$6</f>
        <v>190759.6</v>
      </c>
      <c r="E63" s="148">
        <f>VLOOKUP(C63,SCD!$B$6:$J$65,4,0)*Parâmetros!$D$6</f>
        <v>314941.69602903997</v>
      </c>
      <c r="F63" s="149">
        <f t="shared" ref="F63:F68" si="4">F62+D63-E63</f>
        <v>-143706.91336783994</v>
      </c>
    </row>
    <row r="64" spans="2:6" x14ac:dyDescent="0.35">
      <c r="B64" s="284"/>
      <c r="C64" s="67">
        <v>45900</v>
      </c>
      <c r="D64" s="147">
        <f>Parâmetros!$D$8*Parâmetros!$D$6</f>
        <v>190759.6</v>
      </c>
      <c r="E64" s="148">
        <f>VLOOKUP(C64,SCD!$B$6:$J$65,4,0)*Parâmetros!$D$6</f>
        <v>212612.15849640602</v>
      </c>
      <c r="F64" s="149">
        <f t="shared" si="4"/>
        <v>-165559.47186424595</v>
      </c>
    </row>
    <row r="65" spans="2:6" x14ac:dyDescent="0.35">
      <c r="B65" s="284"/>
      <c r="C65" s="180">
        <v>45901</v>
      </c>
      <c r="D65" s="147">
        <f>Parâmetros!$D$8*Parâmetros!$D$6</f>
        <v>190759.6</v>
      </c>
      <c r="E65" s="148">
        <f>SCD!E50*Parâmetros!$D$6</f>
        <v>132771.79098148001</v>
      </c>
      <c r="F65" s="149">
        <f t="shared" si="4"/>
        <v>-107571.66284572595</v>
      </c>
    </row>
    <row r="66" spans="2:6" x14ac:dyDescent="0.35">
      <c r="B66" s="284"/>
      <c r="C66" s="181">
        <v>45931</v>
      </c>
      <c r="D66" s="147">
        <f>Parâmetros!$D$8*Parâmetros!$D$6</f>
        <v>190759.6</v>
      </c>
      <c r="E66" s="148">
        <f>SCD!E55*Parâmetros!$D$6</f>
        <v>220690.1627592</v>
      </c>
      <c r="F66" s="149">
        <f t="shared" si="4"/>
        <v>-137502.22560492594</v>
      </c>
    </row>
    <row r="67" spans="2:6" x14ac:dyDescent="0.35">
      <c r="B67" s="284"/>
      <c r="C67" s="182">
        <v>45991</v>
      </c>
      <c r="D67" s="147">
        <f>Parâmetros!$D$8*Parâmetros!$D$6</f>
        <v>190759.6</v>
      </c>
      <c r="E67" s="148">
        <f>VLOOKUP(C67,SCD!$B$6:$J$65,4,0)*Parâmetros!$D$6</f>
        <v>248065.40529660007</v>
      </c>
      <c r="F67" s="149">
        <f t="shared" si="4"/>
        <v>-194808.03090152601</v>
      </c>
    </row>
    <row r="68" spans="2:6" x14ac:dyDescent="0.35">
      <c r="B68" s="284"/>
      <c r="C68" s="67">
        <v>46022</v>
      </c>
      <c r="D68" s="147">
        <f>Parâmetros!$D$8*Parâmetros!$D$6</f>
        <v>190759.6</v>
      </c>
      <c r="E68" s="148">
        <f>VLOOKUP(C68,SCD!$B$6:$J$65,4,0)*Parâmetros!$D$6</f>
        <v>110240.926638</v>
      </c>
      <c r="F68" s="149">
        <f t="shared" si="4"/>
        <v>-114289.35753952601</v>
      </c>
    </row>
    <row r="70" spans="2:6" x14ac:dyDescent="0.35">
      <c r="D70" s="23"/>
    </row>
  </sheetData>
  <mergeCells count="7">
    <mergeCell ref="B57:B68"/>
    <mergeCell ref="B45:B56"/>
    <mergeCell ref="B1:L3"/>
    <mergeCell ref="C4:L6"/>
    <mergeCell ref="B9:B20"/>
    <mergeCell ref="B21:B32"/>
    <mergeCell ref="B33:B4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Introdução</vt:lpstr>
      <vt:lpstr>Carvão &amp; Total</vt:lpstr>
      <vt:lpstr>NF carvão</vt:lpstr>
      <vt:lpstr>Secund</vt:lpstr>
      <vt:lpstr>NF Óleo Comb</vt:lpstr>
      <vt:lpstr>NF Diesel</vt:lpstr>
      <vt:lpstr>ANP Óleo Comb</vt:lpstr>
      <vt:lpstr>ANP Diesel</vt:lpstr>
      <vt:lpstr>Acompanhamento Ea-1</vt:lpstr>
      <vt:lpstr>Parâmetros</vt:lpstr>
      <vt:lpstr>Reprocessamentos</vt:lpstr>
      <vt:lpstr>SCD</vt:lpstr>
      <vt:lpstr>Financeiro</vt:lpstr>
      <vt:lpstr>Exportação</vt:lpstr>
      <vt:lpstr>Tributos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Agência Nacional de Energia Elétrica</dc:creator>
  <cp:lastModifiedBy>Gabriela Mota</cp:lastModifiedBy>
  <dcterms:created xsi:type="dcterms:W3CDTF">2020-02-13T14:17:37Z</dcterms:created>
  <dcterms:modified xsi:type="dcterms:W3CDTF">2026-01-14T20:18:27Z</dcterms:modified>
</cp:coreProperties>
</file>