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GCSE\CONTA CCC\1 OPERAÇÕES\2024\09. Setembro24\CTG\6. PUBLICAÇÃO\"/>
    </mc:Choice>
  </mc:AlternateContent>
  <xr:revisionPtr revIDLastSave="0" documentId="13_ncr:1_{6B29FE08-90D8-4FB6-945C-D7C350A89E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O" sheetId="1" r:id="rId1"/>
    <sheet name="GÁS NATURAL" sheetId="2" r:id="rId2"/>
    <sheet name="GÁS ACESSÓRIAS" sheetId="7" r:id="rId3"/>
    <sheet name="CONTRATOS CER-CCVEE" sheetId="9" r:id="rId4"/>
  </sheets>
  <definedNames>
    <definedName name="bdContratosLoc">#REF!</definedName>
    <definedName name="lotesGG">#REF!</definedName>
    <definedName name="Municipios">#REF!</definedName>
    <definedName name="Regiã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H9" i="9" l="1"/>
  <c r="I9" i="9"/>
  <c r="J9" i="9" s="1"/>
  <c r="H10" i="9"/>
  <c r="I10" i="9"/>
  <c r="J10" i="9" s="1"/>
  <c r="H11" i="9"/>
  <c r="I11" i="9"/>
  <c r="J11" i="9" s="1"/>
  <c r="H7" i="9"/>
  <c r="I7" i="9"/>
  <c r="J7" i="9" s="1"/>
  <c r="H8" i="9"/>
  <c r="I8" i="9"/>
  <c r="J8" i="9" s="1"/>
  <c r="P11" i="9"/>
  <c r="Q11" i="9"/>
  <c r="R11" i="9" s="1"/>
  <c r="M11" i="9" l="1"/>
  <c r="L11" i="9"/>
  <c r="Y11" i="9" s="1"/>
  <c r="M9" i="9"/>
  <c r="L9" i="9"/>
  <c r="Q9" i="9"/>
  <c r="R9" i="9" s="1"/>
  <c r="P9" i="9"/>
  <c r="Y9" i="9" l="1"/>
  <c r="N9" i="9"/>
  <c r="X9" i="9" s="1"/>
  <c r="P8" i="9"/>
  <c r="Q8" i="9"/>
  <c r="R8" i="9" s="1"/>
  <c r="P10" i="9"/>
  <c r="Q10" i="9"/>
  <c r="R10" i="9" s="1"/>
  <c r="P7" i="9"/>
  <c r="Q7" i="9"/>
  <c r="R7" i="9" s="1"/>
  <c r="N11" i="9"/>
  <c r="X11" i="9" s="1"/>
  <c r="Z11" i="9" s="1"/>
  <c r="Z9" i="9" l="1"/>
  <c r="M8" i="9"/>
  <c r="L8" i="9"/>
  <c r="Y8" i="9" s="1"/>
  <c r="U9" i="9"/>
  <c r="L10" i="9"/>
  <c r="Y10" i="9" s="1"/>
  <c r="M10" i="9"/>
  <c r="M7" i="9"/>
  <c r="L7" i="9"/>
  <c r="Y7" i="9" s="1"/>
  <c r="N7" i="9"/>
  <c r="X7" i="9" s="1"/>
  <c r="Z7" i="9" s="1"/>
  <c r="U11" i="9"/>
  <c r="N8" i="9" l="1"/>
  <c r="X8" i="9" s="1"/>
  <c r="Z8" i="9" s="1"/>
  <c r="U7" i="9"/>
  <c r="N10" i="9"/>
  <c r="X10" i="9" s="1"/>
  <c r="Z10" i="9" s="1"/>
  <c r="U10" i="9" l="1"/>
  <c r="Z12" i="9"/>
  <c r="C7" i="1" s="1"/>
  <c r="U8" i="9"/>
  <c r="E28" i="7" l="1"/>
  <c r="E27" i="7"/>
  <c r="A5" i="9" l="1"/>
  <c r="C2" i="9"/>
  <c r="D2" i="2"/>
  <c r="D2" i="7"/>
  <c r="F7" i="9" l="1"/>
  <c r="F11" i="9"/>
  <c r="F8" i="9"/>
  <c r="F10" i="9"/>
  <c r="F9" i="9"/>
  <c r="C24" i="7"/>
  <c r="C23" i="7"/>
  <c r="D24" i="7"/>
  <c r="D23" i="7"/>
  <c r="F12" i="9" l="1"/>
  <c r="C12" i="1" s="1"/>
  <c r="E24" i="7"/>
  <c r="E18" i="7" l="1"/>
  <c r="E23" i="7" s="1"/>
  <c r="C31" i="7" s="1"/>
  <c r="E7" i="2"/>
  <c r="C28" i="7" l="1"/>
  <c r="C27" i="7"/>
  <c r="H27" i="7" s="1"/>
  <c r="H31" i="7" l="1"/>
  <c r="E31" i="7"/>
  <c r="G31" i="7" s="1"/>
  <c r="K5" i="2"/>
  <c r="F28" i="7"/>
  <c r="G28" i="7" s="1"/>
  <c r="J28" i="7" s="1"/>
  <c r="H28" i="7"/>
  <c r="P6" i="2"/>
  <c r="Q6" i="2" s="1"/>
  <c r="V6" i="2" s="1"/>
  <c r="I6" i="2"/>
  <c r="O6" i="2"/>
  <c r="T6" i="2" s="1"/>
  <c r="K6" i="2"/>
  <c r="K28" i="7" l="1"/>
  <c r="W6" i="2"/>
  <c r="R6" i="2"/>
  <c r="F31" i="7"/>
  <c r="J31" i="7" s="1"/>
  <c r="K31" i="7" s="1"/>
  <c r="O5" i="2"/>
  <c r="T5" i="2" s="1"/>
  <c r="P5" i="2"/>
  <c r="Q5" i="2" s="1"/>
  <c r="V5" i="2" s="1"/>
  <c r="I5" i="2"/>
  <c r="R5" i="2" s="1"/>
  <c r="F27" i="7"/>
  <c r="G27" i="7" s="1"/>
  <c r="J27" i="7" s="1"/>
  <c r="K27" i="7" s="1"/>
  <c r="K33" i="7" l="1"/>
  <c r="C6" i="1" s="1"/>
  <c r="X6" i="2"/>
  <c r="W5" i="2"/>
  <c r="X5" i="2" s="1"/>
  <c r="X7" i="2" l="1"/>
  <c r="C5" i="1" s="1"/>
  <c r="C4" i="1" l="1"/>
  <c r="C13" i="1" s="1"/>
  <c r="C21" i="1" s="1"/>
  <c r="C15" i="1" l="1"/>
</calcChain>
</file>

<file path=xl/sharedStrings.xml><?xml version="1.0" encoding="utf-8"?>
<sst xmlns="http://schemas.openxmlformats.org/spreadsheetml/2006/main" count="203" uniqueCount="121">
  <si>
    <t>CUSTO TOTAL DA GERAÇÃO</t>
  </si>
  <si>
    <t>R$</t>
  </si>
  <si>
    <t>GERAÇÃO MENSAL TOTAL</t>
  </si>
  <si>
    <t>COMPENSAÇÃO</t>
  </si>
  <si>
    <t>ACRméd</t>
  </si>
  <si>
    <t>R$/MWh</t>
  </si>
  <si>
    <t>FATOR DE CORTE</t>
  </si>
  <si>
    <t xml:space="preserve"> - </t>
  </si>
  <si>
    <t>REEMBOLSO MENSAL</t>
  </si>
  <si>
    <t>REEMBOLSO PRELIMINAR</t>
  </si>
  <si>
    <t>REEMBOLSO MENSAL EFETIVO</t>
  </si>
  <si>
    <t>CEG</t>
  </si>
  <si>
    <t>COARI</t>
  </si>
  <si>
    <t>UTE.GN.AM.000092-2.02</t>
  </si>
  <si>
    <t>ANAMÃ - GÁS</t>
  </si>
  <si>
    <t>UTE.GN.AM.000105-8.02</t>
  </si>
  <si>
    <t>ANORI - GÁS</t>
  </si>
  <si>
    <t>UTE.GN.AM.000340-9.02</t>
  </si>
  <si>
    <t>CAAPIRANGA - GÁS</t>
  </si>
  <si>
    <t>UTE.GN.AM.000788-9.02</t>
  </si>
  <si>
    <t>CODAJÁS - GÁS</t>
  </si>
  <si>
    <t>AmGT</t>
  </si>
  <si>
    <t>UTE.GN.AM.029272-9.01</t>
  </si>
  <si>
    <t>JARAQUI</t>
  </si>
  <si>
    <t>UTE.PE.AM.029276-1.01</t>
  </si>
  <si>
    <t>TAMBAQUI</t>
  </si>
  <si>
    <t>UTE.GN.AM.029361-0.02</t>
  </si>
  <si>
    <t>PONTA NEGRA</t>
  </si>
  <si>
    <t>UTE.GN.AM.029432-2.01</t>
  </si>
  <si>
    <t>MANAUARA</t>
  </si>
  <si>
    <t>UTE.PE.AM.029499-3.01</t>
  </si>
  <si>
    <t>CRISTIANO ROCHA</t>
  </si>
  <si>
    <t>UTE.GN.AM.037683-3.01</t>
  </si>
  <si>
    <t>UTE.GN.AM.027250-7.02</t>
  </si>
  <si>
    <t>APARECIDA</t>
  </si>
  <si>
    <t>AmE</t>
  </si>
  <si>
    <t>UTE.GN.AM.031888-4.01</t>
  </si>
  <si>
    <t>MAUÁ 3</t>
  </si>
  <si>
    <t>PIE</t>
  </si>
  <si>
    <t>UTE.PE.AM.030274-0.01</t>
  </si>
  <si>
    <t>MAUÁ BLOCO III</t>
  </si>
  <si>
    <t>Interior</t>
  </si>
  <si>
    <t>CCESI</t>
  </si>
  <si>
    <t>Ship or Pay</t>
  </si>
  <si>
    <t>Take or Pay</t>
  </si>
  <si>
    <t>Margem Líquida</t>
  </si>
  <si>
    <t>NA</t>
  </si>
  <si>
    <t>MWh</t>
  </si>
  <si>
    <t>PIS e COFINS (R$/m³)</t>
  </si>
  <si>
    <t>PIS / COFINS (R$/m³)</t>
  </si>
  <si>
    <t>ICMS 
(R$/m³)</t>
  </si>
  <si>
    <t>ELETRONORTE</t>
  </si>
  <si>
    <t>ELETRONORTE - MAUÁ 3</t>
  </si>
  <si>
    <t>reembolso mensal CCC - ELETRONORTE</t>
  </si>
  <si>
    <t>competência:</t>
  </si>
  <si>
    <t>1 - combustível</t>
  </si>
  <si>
    <t>2 - despesas acessórias</t>
  </si>
  <si>
    <t>beneficiário</t>
  </si>
  <si>
    <t>usina</t>
  </si>
  <si>
    <t>tipo</t>
  </si>
  <si>
    <t>consumo de gás eficiente 
(m³)</t>
  </si>
  <si>
    <t>commodity (R$)</t>
  </si>
  <si>
    <t>faturamento commodity (R$)</t>
  </si>
  <si>
    <t>transporte (R$/m³)</t>
  </si>
  <si>
    <t>faturamento transporte 
(R$)</t>
  </si>
  <si>
    <t>margem (R$/m³)</t>
  </si>
  <si>
    <t>faturamento margem 
(R$)</t>
  </si>
  <si>
    <t>ramal termoelétrico (R$)</t>
  </si>
  <si>
    <t>faturamento ramal 
(R$)</t>
  </si>
  <si>
    <t>faturamento ICMS 
(R$)</t>
  </si>
  <si>
    <t>faturamento 
PIS / COFINS (R$)</t>
  </si>
  <si>
    <t>faturamento líquido 
(R$)</t>
  </si>
  <si>
    <t>% não recuperado de ICMS</t>
  </si>
  <si>
    <t>ICMS não recuperado (R$)</t>
  </si>
  <si>
    <t>% não recuperado de PIS / COFINS</t>
  </si>
  <si>
    <t>PIS / COFINS não recuperado (R$)</t>
  </si>
  <si>
    <t>impostos não recuperados (R$)</t>
  </si>
  <si>
    <t>custo total (R$)</t>
  </si>
  <si>
    <t>consumo de 
gás eficiente (m³)</t>
  </si>
  <si>
    <t>volume 
contratado (m³)</t>
  </si>
  <si>
    <t>capacidade de consumo ref. ANEEL (m³)</t>
  </si>
  <si>
    <t>consumo de
 gás natural (m³)</t>
  </si>
  <si>
    <t>item</t>
  </si>
  <si>
    <t>volume de gás natural
 (m³)</t>
  </si>
  <si>
    <t>preço da parcela 
(R$/m³)</t>
  </si>
  <si>
    <t>preço da parcela com
 PIS / COFINS
 (R$/m³)</t>
  </si>
  <si>
    <t>faturamento 
PIS / COFINS 
(R$)</t>
  </si>
  <si>
    <t>faturamento líquido (R$)</t>
  </si>
  <si>
    <t>PIS / COFINS não recuperado 
(R$)</t>
  </si>
  <si>
    <t>custo total
(R$)</t>
  </si>
  <si>
    <t>3 - contratos</t>
  </si>
  <si>
    <t>BENEFICIARIO</t>
  </si>
  <si>
    <t>Usina</t>
  </si>
  <si>
    <t>EC (Mwméd)</t>
  </si>
  <si>
    <t>Geração - Contab</t>
  </si>
  <si>
    <t>R_pot (R$)</t>
  </si>
  <si>
    <t>R_pot liquida (R$)</t>
  </si>
  <si>
    <t>R_pot ICMS (R$)</t>
  </si>
  <si>
    <t>R_pot PIS/COFINS (R$)</t>
  </si>
  <si>
    <t>R_O&amp;M (R$)</t>
  </si>
  <si>
    <t>R_O&amp;M liquida (R$)</t>
  </si>
  <si>
    <t>R_O&amp;M ICMS (R$)</t>
  </si>
  <si>
    <t>R_O&amp;M PIS/COFINS (R$)</t>
  </si>
  <si>
    <t>R_comb (R$)</t>
  </si>
  <si>
    <t>R_comb liquida (R$)</t>
  </si>
  <si>
    <t>R_comb ICMS (R$)</t>
  </si>
  <si>
    <t>R_comb PIS/COFINS (R$)</t>
  </si>
  <si>
    <t xml:space="preserve">CI (R$) </t>
  </si>
  <si>
    <t>VRF (R$)</t>
  </si>
  <si>
    <t>Total tributos</t>
  </si>
  <si>
    <t>% PIS/COFINS não recuperado</t>
  </si>
  <si>
    <t>% ICMS não recuperado</t>
  </si>
  <si>
    <t>Total Tributos não recuperados</t>
  </si>
  <si>
    <t>Total liquido</t>
  </si>
  <si>
    <t>Custo de geração reembolsável</t>
  </si>
  <si>
    <t>Energia entregue - EE (MWh)</t>
  </si>
  <si>
    <t>P_CONER</t>
  </si>
  <si>
    <t>ELETRONORTE - CER</t>
  </si>
  <si>
    <t>REEMBOLSO MENSAL ANTERIOR</t>
  </si>
  <si>
    <t>SALDO DO AJUSTE ANUAL</t>
  </si>
  <si>
    <t>REPROCESSAMENTO AJUSTE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</si>
</sst>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0.0000"/>
    <numFmt numFmtId="167" formatCode="_-* #,##0.0_-;\-* #,##0.0_-;_-* &quot;-&quot;??_-;_-@_-"/>
    <numFmt numFmtId="168" formatCode="mmmm/yyyy"/>
    <numFmt numFmtId="169" formatCode="#,##0.0000"/>
    <numFmt numFmtId="170" formatCode="0.00000"/>
  </numFmts>
  <fonts count="12">
    <font>
      <sz val="11"/>
      <color theme="1"/>
      <name val="Inter"/>
      <family val="2"/>
      <scheme val="minor"/>
    </font>
    <font>
      <sz val="11"/>
      <color theme="1"/>
      <name val="Inter"/>
      <family val="2"/>
      <scheme val="minor"/>
    </font>
    <font>
      <b/>
      <i/>
      <sz val="12"/>
      <color rgb="FF002060"/>
      <name val="Inter"/>
      <family val="2"/>
      <scheme val="minor"/>
    </font>
    <font>
      <b/>
      <i/>
      <sz val="12"/>
      <name val="Inter"/>
      <family val="2"/>
      <scheme val="minor"/>
    </font>
    <font>
      <b/>
      <i/>
      <sz val="12"/>
      <color theme="1"/>
      <name val="Inter"/>
      <family val="2"/>
      <scheme val="minor"/>
    </font>
    <font>
      <b/>
      <i/>
      <sz val="22"/>
      <color theme="4"/>
      <name val="Inter"/>
      <family val="2"/>
      <scheme val="minor"/>
    </font>
    <font>
      <b/>
      <i/>
      <sz val="12"/>
      <color theme="4"/>
      <name val="Inter"/>
      <family val="2"/>
      <scheme val="minor"/>
    </font>
    <font>
      <b/>
      <sz val="11"/>
      <color theme="4"/>
      <name val="Inter"/>
      <family val="2"/>
      <scheme val="minor"/>
    </font>
    <font>
      <sz val="11"/>
      <color theme="4"/>
      <name val="Inter"/>
      <family val="2"/>
      <scheme val="minor"/>
    </font>
    <font>
      <b/>
      <u val="double"/>
      <sz val="11"/>
      <color theme="4"/>
      <name val="Inter"/>
      <family val="2"/>
      <scheme val="minor"/>
    </font>
    <font>
      <b/>
      <sz val="11"/>
      <color theme="0"/>
      <name val="Inter"/>
      <family val="2"/>
      <scheme val="minor"/>
    </font>
    <font>
      <b/>
      <u val="singleAccounting"/>
      <sz val="11"/>
      <color theme="1"/>
      <name val="Inter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rgb="FF000C4C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167" fontId="0" fillId="0" borderId="0" xfId="0" applyNumberFormat="1"/>
    <xf numFmtId="166" fontId="0" fillId="0" borderId="0" xfId="0" applyNumberFormat="1"/>
    <xf numFmtId="165" fontId="0" fillId="0" borderId="0" xfId="0" applyNumberFormat="1"/>
    <xf numFmtId="168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top"/>
    </xf>
    <xf numFmtId="0" fontId="8" fillId="0" borderId="0" xfId="0" applyFont="1"/>
    <xf numFmtId="4" fontId="9" fillId="0" borderId="0" xfId="0" applyNumberFormat="1" applyFont="1"/>
    <xf numFmtId="0" fontId="5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right" vertical="center"/>
    </xf>
    <xf numFmtId="164" fontId="1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vertical="center"/>
    </xf>
    <xf numFmtId="169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9" fontId="0" fillId="0" borderId="1" xfId="2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horizontal="right" vertical="center"/>
    </xf>
    <xf numFmtId="170" fontId="0" fillId="0" borderId="1" xfId="0" applyNumberFormat="1" applyBorder="1" applyAlignment="1">
      <alignment horizontal="left" vertical="center" indent="3"/>
    </xf>
    <xf numFmtId="17" fontId="0" fillId="0" borderId="0" xfId="0" applyNumberFormat="1"/>
    <xf numFmtId="43" fontId="11" fillId="0" borderId="0" xfId="0" applyNumberFormat="1" applyFont="1"/>
    <xf numFmtId="0" fontId="0" fillId="0" borderId="2" xfId="0" applyBorder="1" applyAlignment="1">
      <alignment horizontal="center"/>
    </xf>
    <xf numFmtId="43" fontId="0" fillId="0" borderId="2" xfId="1" applyFont="1" applyFill="1" applyBorder="1" applyAlignment="1">
      <alignment horizontal="center"/>
    </xf>
    <xf numFmtId="43" fontId="0" fillId="0" borderId="2" xfId="0" applyNumberFormat="1" applyBorder="1"/>
    <xf numFmtId="0" fontId="10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43" fontId="7" fillId="6" borderId="1" xfId="0" applyNumberFormat="1" applyFont="1" applyFill="1" applyBorder="1" applyAlignment="1">
      <alignment horizontal="right" vertical="center"/>
    </xf>
  </cellXfs>
  <cellStyles count="5">
    <cellStyle name="Moeda 2" xfId="4" xr:uid="{00000000-0005-0000-0000-000000000000}"/>
    <cellStyle name="Normal" xfId="0" builtinId="0"/>
    <cellStyle name="Porcentagem" xfId="2" builtinId="5"/>
    <cellStyle name="Vírgula" xfId="1" builtinId="3"/>
    <cellStyle name="Vírgula 2" xfId="3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E99F20B-44AB-4B58-9198-728E84AD4993}"/>
  </tableStyles>
  <colors>
    <mruColors>
      <color rgb="FFFFC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295277</xdr:colOff>
      <xdr:row>0</xdr:row>
      <xdr:rowOff>158751</xdr:rowOff>
    </xdr:from>
    <xdr:to>
      <xdr:col>0</xdr:col>
      <xdr:colOff>1609725</xdr:colOff>
      <xdr:row>0</xdr:row>
      <xdr:rowOff>580643</xdr:rowOff>
    </xdr:to>
    <xdr:pic>
      <xdr:nvPicPr>
        <xdr:cNvPr id="3" name="Imagem 2" descr="Ícone&#10;&#10;Descrição gerada automaticamente com confiança baixa">
          <a:extLst>
            <a:ext uri="{FF2B5EF4-FFF2-40B4-BE49-F238E27FC236}">
              <a16:creationId xmlns:a16="http://schemas.microsoft.com/office/drawing/2014/main" id="{3575995A-2C95-4E74-AD34-E1821595F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7" y="158751"/>
          <a:ext cx="1314448" cy="421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295277</xdr:colOff>
      <xdr:row>0</xdr:row>
      <xdr:rowOff>158751</xdr:rowOff>
    </xdr:from>
    <xdr:to>
      <xdr:col>0</xdr:col>
      <xdr:colOff>1609725</xdr:colOff>
      <xdr:row>0</xdr:row>
      <xdr:rowOff>580643</xdr:rowOff>
    </xdr:to>
    <xdr:pic>
      <xdr:nvPicPr>
        <xdr:cNvPr id="3" name="Imagem 2" descr="Ícone&#10;&#10;Descrição gerada automaticamente com confiança baixa">
          <a:extLst>
            <a:ext uri="{FF2B5EF4-FFF2-40B4-BE49-F238E27FC236}">
              <a16:creationId xmlns:a16="http://schemas.microsoft.com/office/drawing/2014/main" id="{85213AA3-05BF-47C6-94E4-6A3C5D81E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7" y="158751"/>
          <a:ext cx="1314448" cy="4218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295277</xdr:colOff>
      <xdr:row>0</xdr:row>
      <xdr:rowOff>158751</xdr:rowOff>
    </xdr:from>
    <xdr:to>
      <xdr:col>0</xdr:col>
      <xdr:colOff>1609725</xdr:colOff>
      <xdr:row>0</xdr:row>
      <xdr:rowOff>580643</xdr:rowOff>
    </xdr:to>
    <xdr:pic>
      <xdr:nvPicPr>
        <xdr:cNvPr id="3" name="Imagem 2" descr="Ícone&#10;&#10;Descrição gerada automaticamente com confiança baixa">
          <a:extLst>
            <a:ext uri="{FF2B5EF4-FFF2-40B4-BE49-F238E27FC236}">
              <a16:creationId xmlns:a16="http://schemas.microsoft.com/office/drawing/2014/main" id="{2857927D-BFCF-4F1E-B61C-AAC8C3397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7" y="158751"/>
          <a:ext cx="1314448" cy="4218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161926</xdr:rowOff>
    </xdr:from>
    <xdr:to>
      <xdr:col>0</xdr:col>
      <xdr:colOff>1314448</xdr:colOff>
      <xdr:row>0</xdr:row>
      <xdr:rowOff>561975</xdr:rowOff>
    </xdr:to>
    <xdr:pic>
      <xdr:nvPicPr>
        <xdr:cNvPr id="2" name="Imagem 1" descr="Ícone&#10;&#10;Descrição gerada automaticamente com confiança baixa">
          <a:extLst>
            <a:ext uri="{FF2B5EF4-FFF2-40B4-BE49-F238E27FC236}">
              <a16:creationId xmlns:a16="http://schemas.microsoft.com/office/drawing/2014/main" id="{B4754EDD-680E-4C17-8EA5-EFF6A0906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2" y="161926"/>
          <a:ext cx="1314448" cy="400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CCEE1">
  <a:themeElements>
    <a:clrScheme name="Personalizada 1">
      <a:dk1>
        <a:srgbClr val="4C4C4C"/>
      </a:dk1>
      <a:lt1>
        <a:sysClr val="window" lastClr="FFFFFF"/>
      </a:lt1>
      <a:dk2>
        <a:srgbClr val="000C4C"/>
      </a:dk2>
      <a:lt2>
        <a:srgbClr val="B8DDE1"/>
      </a:lt2>
      <a:accent1>
        <a:srgbClr val="06038D"/>
      </a:accent1>
      <a:accent2>
        <a:srgbClr val="B8DDE1"/>
      </a:accent2>
      <a:accent3>
        <a:srgbClr val="000C4C"/>
      </a:accent3>
      <a:accent4>
        <a:srgbClr val="FFFFFF"/>
      </a:accent4>
      <a:accent5>
        <a:srgbClr val="4C4C4C"/>
      </a:accent5>
      <a:accent6>
        <a:srgbClr val="002060"/>
      </a:accent6>
      <a:hlink>
        <a:srgbClr val="4C4C4C"/>
      </a:hlink>
      <a:folHlink>
        <a:srgbClr val="00FFFF"/>
      </a:folHlink>
    </a:clrScheme>
    <a:fontScheme name="CCEE-fonte">
      <a:majorFont>
        <a:latin typeface="Inter Black"/>
        <a:ea typeface=""/>
        <a:cs typeface=""/>
      </a:majorFont>
      <a:minorFont>
        <a:latin typeface="Inte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showGridLines="0" tabSelected="1" workbookViewId="0">
      <selection activeCell="D14" sqref="D14"/>
    </sheetView>
  </sheetViews>
  <sheetFormatPr defaultColWidth="9.25" defaultRowHeight="14"/>
  <cols>
    <col min="1" max="1" width="69.75" customWidth="1"/>
    <col min="2" max="2" width="13" customWidth="1"/>
    <col min="3" max="3" width="19.25" customWidth="1"/>
    <col min="4" max="4" width="14.5" bestFit="1" customWidth="1"/>
    <col min="5" max="5" width="15.25" customWidth="1"/>
    <col min="6" max="6" width="13.75" customWidth="1"/>
  </cols>
  <sheetData>
    <row r="1" spans="1:6" ht="49.5" customHeight="1">
      <c r="C1" s="11" t="s">
        <v>53</v>
      </c>
    </row>
    <row r="2" spans="1:6" ht="19.5" customHeight="1">
      <c r="B2" s="12" t="s">
        <v>54</v>
      </c>
      <c r="C2" s="10">
        <v>45536</v>
      </c>
    </row>
    <row r="3" spans="1:6" ht="15.5">
      <c r="B3" s="1"/>
      <c r="C3" s="10"/>
    </row>
    <row r="4" spans="1:6" ht="21.75" customHeight="1">
      <c r="A4" s="33" t="s">
        <v>0</v>
      </c>
      <c r="B4" s="34" t="s">
        <v>1</v>
      </c>
      <c r="C4" s="35">
        <f>SUM(C5:C7)</f>
        <v>374883203.23377824</v>
      </c>
      <c r="E4" s="6"/>
      <c r="F4" s="6"/>
    </row>
    <row r="5" spans="1:6" ht="19.5" customHeight="1">
      <c r="A5" s="36" t="s">
        <v>55</v>
      </c>
      <c r="B5" s="19" t="s">
        <v>1</v>
      </c>
      <c r="C5" s="37">
        <f>'GÁS NATURAL'!X7</f>
        <v>126945973.91230649</v>
      </c>
      <c r="E5" s="6"/>
      <c r="F5" s="6"/>
    </row>
    <row r="6" spans="1:6" ht="19.5" customHeight="1">
      <c r="A6" s="36" t="s">
        <v>56</v>
      </c>
      <c r="B6" s="19" t="s">
        <v>1</v>
      </c>
      <c r="C6" s="37">
        <f>'GÁS ACESSÓRIAS'!K33</f>
        <v>4518397.3082983447</v>
      </c>
      <c r="E6" s="6"/>
      <c r="F6" s="6"/>
    </row>
    <row r="7" spans="1:6" ht="19.5" customHeight="1">
      <c r="A7" s="36" t="s">
        <v>90</v>
      </c>
      <c r="B7" s="19" t="s">
        <v>1</v>
      </c>
      <c r="C7" s="37">
        <f>'CONTRATOS CER-CCVEE'!Z12</f>
        <v>243418832.0131734</v>
      </c>
      <c r="D7" s="6"/>
      <c r="E7" s="6"/>
      <c r="F7" s="6"/>
    </row>
    <row r="8" spans="1:6" ht="19.5" customHeight="1">
      <c r="A8" s="36" t="s">
        <v>2</v>
      </c>
      <c r="B8" s="19" t="s">
        <v>47</v>
      </c>
      <c r="C8" s="37" t="s">
        <v>46</v>
      </c>
      <c r="E8" s="6"/>
    </row>
    <row r="9" spans="1:6" ht="19.5" customHeight="1">
      <c r="A9" s="36" t="s">
        <v>3</v>
      </c>
      <c r="B9" s="19" t="s">
        <v>1</v>
      </c>
      <c r="C9" s="37">
        <v>0</v>
      </c>
      <c r="E9" s="6"/>
    </row>
    <row r="10" spans="1:6" ht="19.5" customHeight="1">
      <c r="A10" s="36" t="s">
        <v>4</v>
      </c>
      <c r="B10" s="19" t="s">
        <v>5</v>
      </c>
      <c r="C10" s="37">
        <v>300.18</v>
      </c>
      <c r="E10" s="6"/>
    </row>
    <row r="11" spans="1:6" ht="19.5" customHeight="1">
      <c r="A11" s="36" t="s">
        <v>6</v>
      </c>
      <c r="B11" s="19" t="s">
        <v>7</v>
      </c>
      <c r="C11" s="37" t="s">
        <v>46</v>
      </c>
      <c r="E11" s="6"/>
    </row>
    <row r="12" spans="1:6" ht="19.5" customHeight="1">
      <c r="A12" s="36" t="s">
        <v>116</v>
      </c>
      <c r="B12" s="19" t="s">
        <v>1</v>
      </c>
      <c r="C12" s="37">
        <f>'CONTRATOS CER-CCVEE'!F12*C10</f>
        <v>66948742.389738716</v>
      </c>
      <c r="E12" s="6"/>
    </row>
    <row r="13" spans="1:6" ht="19.5" customHeight="1">
      <c r="A13" s="33" t="s">
        <v>8</v>
      </c>
      <c r="B13" s="34" t="s">
        <v>1</v>
      </c>
      <c r="C13" s="35">
        <f>ROUND(C4-C12,2)</f>
        <v>307934460.83999997</v>
      </c>
      <c r="E13" s="6"/>
      <c r="F13" s="6"/>
    </row>
    <row r="14" spans="1:6" ht="21.75" customHeight="1">
      <c r="A14" s="33" t="s">
        <v>9</v>
      </c>
      <c r="B14" s="34" t="s">
        <v>1</v>
      </c>
      <c r="C14" s="35">
        <v>89783138</v>
      </c>
      <c r="E14" s="6"/>
      <c r="F14" s="6"/>
    </row>
    <row r="15" spans="1:6" ht="21.75" customHeight="1">
      <c r="A15" s="33" t="s">
        <v>10</v>
      </c>
      <c r="B15" s="34" t="s">
        <v>1</v>
      </c>
      <c r="C15" s="35">
        <f>ROUND(C13-C14,2)</f>
        <v>218151322.84</v>
      </c>
      <c r="D15" s="5"/>
      <c r="E15" s="6"/>
      <c r="F15" s="6"/>
    </row>
    <row r="16" spans="1:6" ht="21.4" customHeight="1"/>
    <row r="17" spans="1:3">
      <c r="A17" s="46" t="s">
        <v>118</v>
      </c>
      <c r="B17" s="47" t="s">
        <v>1</v>
      </c>
      <c r="C17" s="48">
        <v>290145357.67000002</v>
      </c>
    </row>
    <row r="18" spans="1:3">
      <c r="A18" s="46" t="s">
        <v>119</v>
      </c>
      <c r="B18" s="47" t="s">
        <v>1</v>
      </c>
      <c r="C18" s="48">
        <f>C20-C17</f>
        <v>-47245376.75000003</v>
      </c>
    </row>
    <row r="20" spans="1:3">
      <c r="A20" s="46" t="s">
        <v>118</v>
      </c>
      <c r="B20" s="47" t="s">
        <v>1</v>
      </c>
      <c r="C20" s="48">
        <v>242899980.91999999</v>
      </c>
    </row>
    <row r="21" spans="1:3">
      <c r="A21" s="46" t="s">
        <v>120</v>
      </c>
      <c r="B21" s="47" t="s">
        <v>1</v>
      </c>
      <c r="C21" s="48">
        <f>C13-C20</f>
        <v>65034479.919999987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"/>
  <sheetViews>
    <sheetView showGridLines="0" topLeftCell="I1" workbookViewId="0">
      <selection activeCell="S11" sqref="S11"/>
    </sheetView>
  </sheetViews>
  <sheetFormatPr defaultRowHeight="14"/>
  <cols>
    <col min="1" max="2" width="26.25" customWidth="1"/>
    <col min="3" max="4" width="27.25" customWidth="1"/>
    <col min="5" max="24" width="16.75" customWidth="1"/>
  </cols>
  <sheetData>
    <row r="1" spans="1:24" ht="49.5" customHeight="1">
      <c r="C1" s="15" t="s">
        <v>53</v>
      </c>
    </row>
    <row r="2" spans="1:24" ht="19.5" customHeight="1">
      <c r="C2" s="12" t="s">
        <v>54</v>
      </c>
      <c r="D2" s="10">
        <f>RESUMO!C2</f>
        <v>45536</v>
      </c>
    </row>
    <row r="3" spans="1:24" ht="15.5">
      <c r="A3" s="17"/>
      <c r="B3" s="3"/>
      <c r="C3" s="10"/>
      <c r="E3" s="2"/>
      <c r="F3" s="2"/>
      <c r="G3" s="2"/>
      <c r="H3" s="2"/>
    </row>
    <row r="4" spans="1:24" ht="42">
      <c r="A4" s="18" t="s">
        <v>57</v>
      </c>
      <c r="B4" s="18" t="s">
        <v>11</v>
      </c>
      <c r="C4" s="18" t="s">
        <v>58</v>
      </c>
      <c r="D4" s="18" t="s">
        <v>59</v>
      </c>
      <c r="E4" s="18" t="s">
        <v>60</v>
      </c>
      <c r="F4" s="18" t="s">
        <v>61</v>
      </c>
      <c r="G4" s="18" t="s">
        <v>62</v>
      </c>
      <c r="H4" s="18" t="s">
        <v>63</v>
      </c>
      <c r="I4" s="18" t="s">
        <v>64</v>
      </c>
      <c r="J4" s="18" t="s">
        <v>65</v>
      </c>
      <c r="K4" s="18" t="s">
        <v>66</v>
      </c>
      <c r="L4" s="18" t="s">
        <v>67</v>
      </c>
      <c r="M4" s="18" t="s">
        <v>68</v>
      </c>
      <c r="N4" s="18" t="s">
        <v>50</v>
      </c>
      <c r="O4" s="18" t="s">
        <v>69</v>
      </c>
      <c r="P4" s="18" t="s">
        <v>48</v>
      </c>
      <c r="Q4" s="18" t="s">
        <v>70</v>
      </c>
      <c r="R4" s="18" t="s">
        <v>71</v>
      </c>
      <c r="S4" s="18" t="s">
        <v>72</v>
      </c>
      <c r="T4" s="18" t="s">
        <v>73</v>
      </c>
      <c r="U4" s="18" t="s">
        <v>74</v>
      </c>
      <c r="V4" s="18" t="s">
        <v>75</v>
      </c>
      <c r="W4" s="18" t="s">
        <v>76</v>
      </c>
      <c r="X4" s="18" t="s">
        <v>77</v>
      </c>
    </row>
    <row r="5" spans="1:24">
      <c r="A5" s="19" t="s">
        <v>117</v>
      </c>
      <c r="B5" s="19" t="s">
        <v>33</v>
      </c>
      <c r="C5" s="19" t="s">
        <v>34</v>
      </c>
      <c r="D5" s="19" t="s">
        <v>35</v>
      </c>
      <c r="E5" s="24">
        <v>15889144</v>
      </c>
      <c r="F5" s="27"/>
      <c r="G5" s="27"/>
      <c r="H5" s="28">
        <v>1.03908640253</v>
      </c>
      <c r="I5" s="29">
        <f>$E5*H5</f>
        <v>16510193.478241134</v>
      </c>
      <c r="J5" s="28">
        <v>4.6897634163000003E-2</v>
      </c>
      <c r="K5" s="29">
        <f>$E5*J5</f>
        <v>745163.26247522654</v>
      </c>
      <c r="L5" s="27"/>
      <c r="M5" s="27"/>
      <c r="N5" s="28">
        <v>0.30699199999999999</v>
      </c>
      <c r="O5" s="29">
        <f>$E5*N5</f>
        <v>4877840.0948479995</v>
      </c>
      <c r="P5" s="28">
        <f>ROUND(((F5+H5+J5+L5)/(1-0.25-0.0925))*0.0925,6)</f>
        <v>0.152781</v>
      </c>
      <c r="Q5" s="29">
        <f>$E5*P5</f>
        <v>2427559.3094640002</v>
      </c>
      <c r="R5" s="29">
        <f>G5+I5+K5+M5</f>
        <v>17255356.740716361</v>
      </c>
      <c r="S5" s="30">
        <v>1</v>
      </c>
      <c r="T5" s="31">
        <f>O5*S5</f>
        <v>4877840.0948479995</v>
      </c>
      <c r="U5" s="30">
        <v>0</v>
      </c>
      <c r="V5" s="29">
        <f>Q5*U5</f>
        <v>0</v>
      </c>
      <c r="W5" s="32">
        <f>T5+V5</f>
        <v>4877840.0948479995</v>
      </c>
      <c r="X5" s="32">
        <f>R5+W5</f>
        <v>22133196.83556436</v>
      </c>
    </row>
    <row r="6" spans="1:24">
      <c r="A6" s="19" t="s">
        <v>52</v>
      </c>
      <c r="B6" s="19" t="s">
        <v>36</v>
      </c>
      <c r="C6" s="19" t="s">
        <v>37</v>
      </c>
      <c r="D6" s="19" t="s">
        <v>35</v>
      </c>
      <c r="E6" s="24">
        <v>75243776.142462075</v>
      </c>
      <c r="F6" s="27"/>
      <c r="G6" s="27"/>
      <c r="H6" s="28">
        <v>1.03908640253</v>
      </c>
      <c r="I6" s="29">
        <f t="shared" ref="I6" si="0">$E6*H6</f>
        <v>78184784.664643556</v>
      </c>
      <c r="J6" s="28">
        <v>4.6897634163000003E-2</v>
      </c>
      <c r="K6" s="29">
        <f t="shared" ref="K6" si="1">$E6*J6</f>
        <v>3528755.0865718541</v>
      </c>
      <c r="L6" s="27"/>
      <c r="M6" s="27"/>
      <c r="N6" s="28">
        <v>0.30699199999999999</v>
      </c>
      <c r="O6" s="29">
        <f t="shared" ref="O6" si="2">$E6*N6</f>
        <v>23099237.325526718</v>
      </c>
      <c r="P6" s="28">
        <f>ROUND(((F6+H6+J6+L6)/(1-0.25-0.0925))*0.0925,6)</f>
        <v>0.152781</v>
      </c>
      <c r="Q6" s="29">
        <f t="shared" ref="Q6" si="3">$E6*P6</f>
        <v>11495819.362821499</v>
      </c>
      <c r="R6" s="29">
        <f t="shared" ref="R6" si="4">G6+I6+K6+M6</f>
        <v>81713539.751215413</v>
      </c>
      <c r="S6" s="30">
        <v>1</v>
      </c>
      <c r="T6" s="31">
        <f t="shared" ref="T6" si="5">O6*S6</f>
        <v>23099237.325526718</v>
      </c>
      <c r="U6" s="30">
        <v>0</v>
      </c>
      <c r="V6" s="29">
        <f t="shared" ref="V6" si="6">Q6*U6</f>
        <v>0</v>
      </c>
      <c r="W6" s="32">
        <f t="shared" ref="W6" si="7">T6+V6</f>
        <v>23099237.325526718</v>
      </c>
      <c r="X6" s="32">
        <f t="shared" ref="X6" si="8">R6+W6</f>
        <v>104812777.07674213</v>
      </c>
    </row>
    <row r="7" spans="1:24" s="13" customFormat="1">
      <c r="E7" s="14">
        <f t="shared" ref="E7" si="9">SUM(E6:E6)</f>
        <v>75243776.142462075</v>
      </c>
      <c r="F7" s="14"/>
      <c r="G7" s="14"/>
      <c r="X7" s="14">
        <f>SUM(X5:X6)</f>
        <v>126945973.91230649</v>
      </c>
    </row>
  </sheetData>
  <conditionalFormatting sqref="C5:C6">
    <cfRule type="duplicateValues" dxfId="1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showGridLines="0" workbookViewId="0">
      <selection activeCell="A26" sqref="A26"/>
    </sheetView>
  </sheetViews>
  <sheetFormatPr defaultColWidth="9.25" defaultRowHeight="14"/>
  <cols>
    <col min="1" max="1" width="26.58203125" customWidth="1"/>
    <col min="2" max="2" width="25.25" customWidth="1"/>
    <col min="3" max="5" width="23.75" customWidth="1"/>
    <col min="6" max="11" width="18.25" customWidth="1"/>
  </cols>
  <sheetData>
    <row r="1" spans="1:5" ht="49.5" customHeight="1">
      <c r="C1" s="15" t="s">
        <v>53</v>
      </c>
    </row>
    <row r="2" spans="1:5" ht="19.5" customHeight="1">
      <c r="C2" s="12" t="s">
        <v>54</v>
      </c>
      <c r="D2" s="10">
        <f>RESUMO!C2</f>
        <v>45536</v>
      </c>
    </row>
    <row r="3" spans="1:5" ht="15.5">
      <c r="A3" s="17"/>
      <c r="B3" s="3"/>
      <c r="C3" s="10"/>
      <c r="E3" s="2"/>
    </row>
    <row r="4" spans="1:5" ht="36" customHeight="1">
      <c r="A4" s="18" t="s">
        <v>57</v>
      </c>
      <c r="B4" s="18" t="s">
        <v>11</v>
      </c>
      <c r="C4" s="18" t="s">
        <v>58</v>
      </c>
      <c r="D4" s="18" t="s">
        <v>59</v>
      </c>
      <c r="E4" s="18" t="s">
        <v>78</v>
      </c>
    </row>
    <row r="5" spans="1:5">
      <c r="A5" s="19" t="s">
        <v>51</v>
      </c>
      <c r="B5" s="19" t="s">
        <v>13</v>
      </c>
      <c r="C5" s="19" t="s">
        <v>14</v>
      </c>
      <c r="D5" s="19" t="s">
        <v>41</v>
      </c>
      <c r="E5" s="20">
        <v>447782</v>
      </c>
    </row>
    <row r="6" spans="1:5">
      <c r="A6" s="19" t="s">
        <v>51</v>
      </c>
      <c r="B6" s="19" t="s">
        <v>15</v>
      </c>
      <c r="C6" s="19" t="s">
        <v>16</v>
      </c>
      <c r="D6" s="19" t="s">
        <v>41</v>
      </c>
      <c r="E6" s="20">
        <v>709168</v>
      </c>
    </row>
    <row r="7" spans="1:5">
      <c r="A7" s="19" t="s">
        <v>51</v>
      </c>
      <c r="B7" s="19" t="s">
        <v>17</v>
      </c>
      <c r="C7" s="19" t="s">
        <v>18</v>
      </c>
      <c r="D7" s="19" t="s">
        <v>41</v>
      </c>
      <c r="E7" s="20">
        <v>365259</v>
      </c>
    </row>
    <row r="8" spans="1:5">
      <c r="A8" s="19" t="s">
        <v>51</v>
      </c>
      <c r="B8" s="19" t="s">
        <v>19</v>
      </c>
      <c r="C8" s="19" t="s">
        <v>20</v>
      </c>
      <c r="D8" s="19" t="s">
        <v>41</v>
      </c>
      <c r="E8" s="20">
        <v>947240</v>
      </c>
    </row>
    <row r="9" spans="1:5">
      <c r="A9" s="19" t="s">
        <v>51</v>
      </c>
      <c r="B9" s="19" t="s">
        <v>33</v>
      </c>
      <c r="C9" s="19" t="s">
        <v>34</v>
      </c>
      <c r="D9" s="19" t="s">
        <v>21</v>
      </c>
      <c r="E9" s="20">
        <v>15889144</v>
      </c>
    </row>
    <row r="10" spans="1:5">
      <c r="A10" s="19" t="s">
        <v>51</v>
      </c>
      <c r="B10" s="19" t="s">
        <v>36</v>
      </c>
      <c r="C10" s="19" t="s">
        <v>37</v>
      </c>
      <c r="D10" s="19" t="s">
        <v>21</v>
      </c>
      <c r="E10" s="20">
        <v>75948541.900000006</v>
      </c>
    </row>
    <row r="11" spans="1:5">
      <c r="A11" s="19" t="s">
        <v>51</v>
      </c>
      <c r="B11" s="19" t="s">
        <v>39</v>
      </c>
      <c r="C11" s="19" t="s">
        <v>40</v>
      </c>
      <c r="D11" s="19" t="s">
        <v>21</v>
      </c>
      <c r="E11" s="20">
        <v>0</v>
      </c>
    </row>
    <row r="12" spans="1:5">
      <c r="A12" s="19" t="s">
        <v>51</v>
      </c>
      <c r="B12" s="19" t="s">
        <v>22</v>
      </c>
      <c r="C12" s="19" t="s">
        <v>23</v>
      </c>
      <c r="D12" s="19" t="s">
        <v>38</v>
      </c>
      <c r="E12" s="20">
        <v>12356642.289999999</v>
      </c>
    </row>
    <row r="13" spans="1:5">
      <c r="A13" s="19" t="s">
        <v>51</v>
      </c>
      <c r="B13" s="19" t="s">
        <v>24</v>
      </c>
      <c r="C13" s="19" t="s">
        <v>25</v>
      </c>
      <c r="D13" s="19" t="s">
        <v>38</v>
      </c>
      <c r="E13" s="20">
        <v>12458875</v>
      </c>
    </row>
    <row r="14" spans="1:5">
      <c r="A14" s="19" t="s">
        <v>51</v>
      </c>
      <c r="B14" s="19" t="s">
        <v>26</v>
      </c>
      <c r="C14" s="19" t="s">
        <v>27</v>
      </c>
      <c r="D14" s="19" t="s">
        <v>38</v>
      </c>
      <c r="E14" s="20">
        <v>11577432.609999999</v>
      </c>
    </row>
    <row r="15" spans="1:5">
      <c r="A15" s="19" t="s">
        <v>51</v>
      </c>
      <c r="B15" s="19" t="s">
        <v>32</v>
      </c>
      <c r="C15" s="19" t="s">
        <v>12</v>
      </c>
      <c r="D15" s="19" t="s">
        <v>42</v>
      </c>
      <c r="E15" s="20">
        <v>4065687</v>
      </c>
    </row>
    <row r="16" spans="1:5">
      <c r="A16" s="19" t="s">
        <v>51</v>
      </c>
      <c r="B16" s="19" t="s">
        <v>28</v>
      </c>
      <c r="C16" s="19" t="s">
        <v>29</v>
      </c>
      <c r="D16" s="19" t="s">
        <v>38</v>
      </c>
      <c r="E16" s="20">
        <v>11513390.58</v>
      </c>
    </row>
    <row r="17" spans="1:11">
      <c r="A17" s="19" t="s">
        <v>51</v>
      </c>
      <c r="B17" s="19" t="s">
        <v>30</v>
      </c>
      <c r="C17" s="19" t="s">
        <v>31</v>
      </c>
      <c r="D17" s="19" t="s">
        <v>38</v>
      </c>
      <c r="E17" s="20">
        <v>12529906.449999999</v>
      </c>
    </row>
    <row r="18" spans="1:11">
      <c r="E18" s="16">
        <f>SUM(E5:E17)</f>
        <v>158809068.83000001</v>
      </c>
    </row>
    <row r="22" spans="1:11" ht="36" customHeight="1">
      <c r="C22" s="18" t="s">
        <v>79</v>
      </c>
      <c r="D22" s="18" t="s">
        <v>80</v>
      </c>
      <c r="E22" s="18" t="s">
        <v>81</v>
      </c>
      <c r="G22" s="4"/>
      <c r="J22" s="5"/>
      <c r="K22" s="5"/>
    </row>
    <row r="23" spans="1:11">
      <c r="A23" s="5"/>
      <c r="B23" s="5"/>
      <c r="C23" s="21">
        <f>5500000*DAY(EOMONTH(D2,0))</f>
        <v>165000000</v>
      </c>
      <c r="D23" s="21">
        <f>5420000*DAY(EOMONTH(D2,0))</f>
        <v>162600000</v>
      </c>
      <c r="E23" s="21">
        <f>E18</f>
        <v>158809068.83000001</v>
      </c>
      <c r="F23" s="5"/>
      <c r="G23" s="5"/>
      <c r="H23" s="5"/>
      <c r="I23" s="5"/>
      <c r="J23" s="5"/>
      <c r="K23" s="5"/>
    </row>
    <row r="24" spans="1:11">
      <c r="C24" s="21">
        <f>2178213.4*DAY(EOMONTH(D2,0))</f>
        <v>65346402</v>
      </c>
      <c r="D24" s="21">
        <f>2098213.4*DAY(EOMONTH(D2,0))</f>
        <v>62946402</v>
      </c>
      <c r="E24" s="21">
        <f>SUM(E5:E8,E11:E17)</f>
        <v>66971382.929999992</v>
      </c>
      <c r="F24" s="5"/>
      <c r="G24" s="7"/>
    </row>
    <row r="25" spans="1:11">
      <c r="F25" s="6"/>
    </row>
    <row r="26" spans="1:11" ht="53.25" customHeight="1">
      <c r="A26" s="18" t="s">
        <v>57</v>
      </c>
      <c r="B26" s="18" t="s">
        <v>82</v>
      </c>
      <c r="C26" s="18" t="s">
        <v>83</v>
      </c>
      <c r="D26" s="18" t="s">
        <v>84</v>
      </c>
      <c r="E26" s="18" t="s">
        <v>85</v>
      </c>
      <c r="F26" s="18" t="s">
        <v>49</v>
      </c>
      <c r="G26" s="18" t="s">
        <v>86</v>
      </c>
      <c r="H26" s="18" t="s">
        <v>87</v>
      </c>
      <c r="I26" s="18" t="s">
        <v>74</v>
      </c>
      <c r="J26" s="18" t="s">
        <v>88</v>
      </c>
      <c r="K26" s="18" t="s">
        <v>89</v>
      </c>
    </row>
    <row r="27" spans="1:11">
      <c r="A27" s="19" t="s">
        <v>21</v>
      </c>
      <c r="B27" s="19" t="s">
        <v>43</v>
      </c>
      <c r="C27" s="24">
        <f>ROUND(IF($E$23&gt;=MIN($C$23,$D$23),0,MIN($C$23,$D$23)-$E$23),6)</f>
        <v>3790931.17</v>
      </c>
      <c r="D27" s="23">
        <v>1.1449987906666665</v>
      </c>
      <c r="E27" s="23">
        <f>D27/(1-0.0925)</f>
        <v>1.2617066563820016</v>
      </c>
      <c r="F27" s="23">
        <f>E27*0.0925</f>
        <v>0.11670786571533515</v>
      </c>
      <c r="G27" s="24">
        <f>C27*F27</f>
        <v>442431.48592443834</v>
      </c>
      <c r="H27" s="24">
        <f>C27*D27</f>
        <v>4340611.6051505711</v>
      </c>
      <c r="I27" s="25">
        <v>0</v>
      </c>
      <c r="J27" s="26">
        <f>G27*I27</f>
        <v>0</v>
      </c>
      <c r="K27" s="24">
        <f>H27+J27</f>
        <v>4340611.6051505711</v>
      </c>
    </row>
    <row r="28" spans="1:11">
      <c r="A28" s="19" t="s">
        <v>21</v>
      </c>
      <c r="B28" s="19" t="s">
        <v>44</v>
      </c>
      <c r="C28" s="22">
        <f>IF($E$23&gt;=MIN($C$23,$D$23)*0.8,0,IF(E24&gt;=MIN(C24,D24)*0.8,0,MIN(MIN($C$23,$D$23)*0.8-E23,MIN(C24,D24)*0.8-E24)))</f>
        <v>0</v>
      </c>
      <c r="D28" s="23">
        <v>0.33247864317796144</v>
      </c>
      <c r="E28" s="23">
        <f>D28/(1-0.0925)</f>
        <v>0.366367650884806</v>
      </c>
      <c r="F28" s="23">
        <f>E28*0.0925</f>
        <v>3.3889007706844554E-2</v>
      </c>
      <c r="G28" s="24">
        <f>C28*F28</f>
        <v>0</v>
      </c>
      <c r="H28" s="24">
        <f>C28*D28</f>
        <v>0</v>
      </c>
      <c r="I28" s="25">
        <v>0</v>
      </c>
      <c r="J28" s="26">
        <f>G28*I28</f>
        <v>0</v>
      </c>
      <c r="K28" s="24">
        <f>H28+J28</f>
        <v>0</v>
      </c>
    </row>
    <row r="29" spans="1:11">
      <c r="E29" s="8"/>
      <c r="F29" s="9"/>
    </row>
    <row r="30" spans="1:11" ht="53.25" customHeight="1">
      <c r="A30" s="18" t="s">
        <v>57</v>
      </c>
      <c r="B30" s="18" t="s">
        <v>82</v>
      </c>
      <c r="C30" s="18" t="s">
        <v>83</v>
      </c>
      <c r="D30" s="18" t="s">
        <v>84</v>
      </c>
      <c r="E30" s="18" t="s">
        <v>85</v>
      </c>
      <c r="F30" s="18" t="s">
        <v>49</v>
      </c>
      <c r="G30" s="18" t="s">
        <v>86</v>
      </c>
      <c r="H30" s="18" t="s">
        <v>87</v>
      </c>
      <c r="I30" s="18" t="s">
        <v>74</v>
      </c>
      <c r="J30" s="18" t="s">
        <v>88</v>
      </c>
      <c r="K30" s="18" t="s">
        <v>89</v>
      </c>
    </row>
    <row r="31" spans="1:11">
      <c r="A31" s="19" t="s">
        <v>21</v>
      </c>
      <c r="B31" s="19" t="s">
        <v>45</v>
      </c>
      <c r="C31" s="24">
        <f>ROUND(IF($E$23&gt;=MIN($C$23,$D$23),0,MIN($C$23,$D$23)-$E$23),2)</f>
        <v>3790931.17</v>
      </c>
      <c r="D31" s="38">
        <v>4.6897634163000003E-2</v>
      </c>
      <c r="E31" s="23">
        <f>D31/((1-0.0925))</f>
        <v>5.1677833788429758E-2</v>
      </c>
      <c r="F31" s="23">
        <f>E31*0.0925</f>
        <v>4.7801996254297529E-3</v>
      </c>
      <c r="G31" s="24">
        <f>ROUND(C31*E31*0.0925,6)</f>
        <v>18121.407759000002</v>
      </c>
      <c r="H31" s="24">
        <f>ROUND(C31*D31,6)</f>
        <v>177785.703148</v>
      </c>
      <c r="I31" s="25">
        <v>0</v>
      </c>
      <c r="J31" s="26">
        <f>G31*I31</f>
        <v>0</v>
      </c>
      <c r="K31" s="24">
        <f>C31*D31+J31</f>
        <v>177785.70314777357</v>
      </c>
    </row>
    <row r="32" spans="1:11" s="13" customFormat="1"/>
    <row r="33" spans="11:11">
      <c r="K33" s="14">
        <f>K27+K28+K31</f>
        <v>4518397.3082983447</v>
      </c>
    </row>
  </sheetData>
  <conditionalFormatting sqref="C5:C17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229F-B23E-47AE-BFDB-DED8FCFE5884}">
  <dimension ref="A1:Z12"/>
  <sheetViews>
    <sheetView showGridLines="0" topLeftCell="O1" workbookViewId="0">
      <selection activeCell="X24" sqref="X24"/>
    </sheetView>
  </sheetViews>
  <sheetFormatPr defaultRowHeight="14"/>
  <cols>
    <col min="1" max="1" width="18" customWidth="1"/>
    <col min="2" max="2" width="26.1640625" customWidth="1"/>
    <col min="3" max="3" width="15.08203125" bestFit="1" customWidth="1"/>
    <col min="4" max="4" width="13.1640625" bestFit="1" customWidth="1"/>
    <col min="5" max="5" width="11.75" bestFit="1" customWidth="1"/>
    <col min="6" max="6" width="11.6640625" bestFit="1" customWidth="1"/>
    <col min="7" max="7" width="13.5" bestFit="1" customWidth="1"/>
    <col min="8" max="8" width="13.1640625" bestFit="1" customWidth="1"/>
    <col min="9" max="9" width="12.75" bestFit="1" customWidth="1"/>
    <col min="10" max="10" width="12.25" bestFit="1" customWidth="1"/>
    <col min="11" max="11" width="12.83203125" bestFit="1" customWidth="1"/>
    <col min="12" max="12" width="12.75" bestFit="1" customWidth="1"/>
    <col min="13" max="13" width="11.1640625" bestFit="1" customWidth="1"/>
    <col min="14" max="14" width="11.25" bestFit="1" customWidth="1"/>
    <col min="15" max="15" width="13.9140625" bestFit="1" customWidth="1"/>
    <col min="16" max="16" width="13.33203125" bestFit="1" customWidth="1"/>
    <col min="17" max="17" width="12.5" bestFit="1" customWidth="1"/>
    <col min="18" max="18" width="12.6640625" bestFit="1" customWidth="1"/>
    <col min="19" max="19" width="11.25" bestFit="1" customWidth="1"/>
    <col min="20" max="20" width="10.58203125" bestFit="1" customWidth="1"/>
    <col min="21" max="21" width="13.75" bestFit="1" customWidth="1"/>
    <col min="22" max="22" width="10.75" bestFit="1" customWidth="1"/>
    <col min="24" max="24" width="13.75" bestFit="1" customWidth="1"/>
    <col min="25" max="25" width="13.9140625" bestFit="1" customWidth="1"/>
    <col min="26" max="26" width="19.33203125" bestFit="1" customWidth="1"/>
    <col min="27" max="27" width="14.25" customWidth="1"/>
  </cols>
  <sheetData>
    <row r="1" spans="1:26" ht="49.5" customHeight="1">
      <c r="B1" s="15" t="s">
        <v>53</v>
      </c>
    </row>
    <row r="2" spans="1:26" ht="19.5" customHeight="1">
      <c r="B2" s="12" t="s">
        <v>54</v>
      </c>
      <c r="C2" s="10">
        <f>RESUMO!C2</f>
        <v>45536</v>
      </c>
    </row>
    <row r="3" spans="1:26" ht="15.5">
      <c r="A3" s="3"/>
      <c r="B3" s="10"/>
      <c r="D3" s="2"/>
    </row>
    <row r="5" spans="1:26">
      <c r="A5" s="39">
        <f>RESUMO!C2</f>
        <v>45536</v>
      </c>
    </row>
    <row r="6" spans="1:26" ht="56">
      <c r="A6" s="44" t="s">
        <v>91</v>
      </c>
      <c r="B6" s="44" t="s">
        <v>11</v>
      </c>
      <c r="C6" s="44" t="s">
        <v>92</v>
      </c>
      <c r="D6" s="44" t="s">
        <v>93</v>
      </c>
      <c r="E6" s="44" t="s">
        <v>94</v>
      </c>
      <c r="F6" s="44" t="s">
        <v>115</v>
      </c>
      <c r="G6" s="45" t="s">
        <v>95</v>
      </c>
      <c r="H6" s="45" t="s">
        <v>96</v>
      </c>
      <c r="I6" s="45" t="s">
        <v>97</v>
      </c>
      <c r="J6" s="45" t="s">
        <v>98</v>
      </c>
      <c r="K6" s="45" t="s">
        <v>99</v>
      </c>
      <c r="L6" s="45" t="s">
        <v>100</v>
      </c>
      <c r="M6" s="45" t="s">
        <v>101</v>
      </c>
      <c r="N6" s="45" t="s">
        <v>102</v>
      </c>
      <c r="O6" s="45" t="s">
        <v>103</v>
      </c>
      <c r="P6" s="45" t="s">
        <v>104</v>
      </c>
      <c r="Q6" s="45" t="s">
        <v>105</v>
      </c>
      <c r="R6" s="45" t="s">
        <v>106</v>
      </c>
      <c r="S6" s="45" t="s">
        <v>107</v>
      </c>
      <c r="T6" s="45" t="s">
        <v>108</v>
      </c>
      <c r="U6" s="45" t="s">
        <v>109</v>
      </c>
      <c r="V6" s="45" t="s">
        <v>110</v>
      </c>
      <c r="W6" s="45" t="s">
        <v>111</v>
      </c>
      <c r="X6" s="45" t="s">
        <v>112</v>
      </c>
      <c r="Y6" s="45" t="s">
        <v>113</v>
      </c>
      <c r="Z6" s="45" t="s">
        <v>114</v>
      </c>
    </row>
    <row r="7" spans="1:26">
      <c r="A7" s="19" t="s">
        <v>117</v>
      </c>
      <c r="B7" s="41" t="s">
        <v>22</v>
      </c>
      <c r="C7" s="41" t="s">
        <v>23</v>
      </c>
      <c r="D7" s="41">
        <v>60</v>
      </c>
      <c r="E7" s="42">
        <v>43416.383588000033</v>
      </c>
      <c r="F7" s="42">
        <f>MIN(E7,1.03*D7*DAY(EOMONTH($A$5,0))*24)</f>
        <v>43416.383588000033</v>
      </c>
      <c r="G7" s="43">
        <v>15469567.800000001</v>
      </c>
      <c r="H7" s="43">
        <f>(G7*(1-0.2))*(1-0.0925)</f>
        <v>11230906.222800002</v>
      </c>
      <c r="I7" s="43">
        <f>G7*0.2</f>
        <v>3093913.5600000005</v>
      </c>
      <c r="J7" s="43">
        <f>(G7-I7)*0.0925</f>
        <v>1144748.0172000001</v>
      </c>
      <c r="K7" s="43">
        <v>4055958.5547909634</v>
      </c>
      <c r="L7" s="43">
        <f>(K7*(1-0.2))*(1-0.0925)</f>
        <v>2944625.9107782394</v>
      </c>
      <c r="M7" s="43">
        <f>K7*0.2</f>
        <v>811191.71095819271</v>
      </c>
      <c r="N7" s="43">
        <f>(K7-M7)*0.0925</f>
        <v>300140.93305453128</v>
      </c>
      <c r="O7" s="43">
        <v>29775365.845101587</v>
      </c>
      <c r="P7" s="43">
        <f>(O7*(1-0.2))*(1-0.0925)</f>
        <v>21616915.603543751</v>
      </c>
      <c r="Q7" s="43">
        <f>O7*0.2</f>
        <v>5955073.1690203175</v>
      </c>
      <c r="R7" s="43">
        <f>(O7-Q7)*0.0925</f>
        <v>2203377.0725375176</v>
      </c>
      <c r="S7" s="43">
        <v>577200</v>
      </c>
      <c r="T7" s="43">
        <v>0</v>
      </c>
      <c r="U7" s="43">
        <f>I7+J7+M7+N7+Q7+R7</f>
        <v>13508444.462770561</v>
      </c>
      <c r="V7" s="30">
        <v>1</v>
      </c>
      <c r="W7" s="30">
        <v>1</v>
      </c>
      <c r="X7" s="43">
        <f>((J7+N7+R7)*V7)+((I7+M7+Q7)*W7)</f>
        <v>13508444.462770559</v>
      </c>
      <c r="Y7" s="43">
        <f>H7+L7+P7+S7-T7</f>
        <v>36369647.737121992</v>
      </c>
      <c r="Z7" s="43">
        <f>X7+Y7</f>
        <v>49878092.199892551</v>
      </c>
    </row>
    <row r="8" spans="1:26">
      <c r="A8" s="19" t="s">
        <v>117</v>
      </c>
      <c r="B8" s="41" t="s">
        <v>24</v>
      </c>
      <c r="C8" s="41" t="s">
        <v>25</v>
      </c>
      <c r="D8" s="41">
        <v>60</v>
      </c>
      <c r="E8" s="42">
        <v>43691.107007999999</v>
      </c>
      <c r="F8" s="42">
        <f t="shared" ref="F8:F11" si="0">MIN(E8,1.03*D8*DAY(EOMONTH($A$5,0))*24)</f>
        <v>43691.107007999999</v>
      </c>
      <c r="G8" s="43">
        <v>15449392.199999999</v>
      </c>
      <c r="H8" s="43">
        <f t="shared" ref="H8:H11" si="1">(G8*(1-0.2))*(1-0.0925)</f>
        <v>11216258.737199999</v>
      </c>
      <c r="I8" s="43">
        <f t="shared" ref="I8:I11" si="2">G8*0.2</f>
        <v>3089878.44</v>
      </c>
      <c r="J8" s="43">
        <f t="shared" ref="J8:J11" si="3">(G8-I8)*0.0925</f>
        <v>1143255.0227999999</v>
      </c>
      <c r="K8" s="43">
        <v>4081623.2166873598</v>
      </c>
      <c r="L8" s="43">
        <f t="shared" ref="L8:L11" si="4">(K8*(1-0.2))*(1-0.0925)</f>
        <v>2963258.4553150232</v>
      </c>
      <c r="M8" s="43">
        <f t="shared" ref="M8:M11" si="5">K8*0.2</f>
        <v>816324.64333747199</v>
      </c>
      <c r="N8" s="43">
        <f t="shared" ref="N8:N11" si="6">(K8-M8)*0.0925</f>
        <v>302040.11803486466</v>
      </c>
      <c r="O8" s="43">
        <v>30023345.414151747</v>
      </c>
      <c r="P8" s="43">
        <f t="shared" ref="P8:P11" si="7">(O8*(1-0.2))*(1-0.0925)</f>
        <v>21796948.770674169</v>
      </c>
      <c r="Q8" s="43">
        <f t="shared" ref="Q8:Q11" si="8">O8*0.2</f>
        <v>6004669.0828303499</v>
      </c>
      <c r="R8" s="43">
        <f t="shared" ref="R8:R11" si="9">(O8-Q8)*0.0925</f>
        <v>2221727.5606472292</v>
      </c>
      <c r="S8" s="43">
        <v>577200</v>
      </c>
      <c r="T8" s="43">
        <v>0</v>
      </c>
      <c r="U8" s="43">
        <f t="shared" ref="U8:U11" si="10">I8+J8+M8+N8+Q8+R8</f>
        <v>13577894.867649915</v>
      </c>
      <c r="V8" s="30">
        <v>1</v>
      </c>
      <c r="W8" s="30">
        <v>1</v>
      </c>
      <c r="X8" s="43">
        <f t="shared" ref="X8:X11" si="11">((J8+N8+R8)*V8)+((I8+M8+Q8)*W8)</f>
        <v>13577894.867649917</v>
      </c>
      <c r="Y8" s="43">
        <f t="shared" ref="Y8:Y11" si="12">H8+L8+P8+S8-T8</f>
        <v>36553665.963189192</v>
      </c>
      <c r="Z8" s="43">
        <f t="shared" ref="Z8:Z11" si="13">X8+Y8</f>
        <v>50131560.830839112</v>
      </c>
    </row>
    <row r="9" spans="1:26">
      <c r="A9" s="19" t="s">
        <v>117</v>
      </c>
      <c r="B9" s="41" t="s">
        <v>26</v>
      </c>
      <c r="C9" s="41" t="s">
        <v>27</v>
      </c>
      <c r="D9" s="41">
        <v>60</v>
      </c>
      <c r="E9" s="42">
        <v>44411.57279999958</v>
      </c>
      <c r="F9" s="42">
        <f t="shared" si="0"/>
        <v>44411.57279999958</v>
      </c>
      <c r="G9" s="43">
        <v>14584225.200000001</v>
      </c>
      <c r="H9" s="43">
        <f t="shared" si="1"/>
        <v>10588147.495200001</v>
      </c>
      <c r="I9" s="43">
        <f t="shared" si="2"/>
        <v>2916845.0400000005</v>
      </c>
      <c r="J9" s="43">
        <f t="shared" si="3"/>
        <v>1079232.6647999999</v>
      </c>
      <c r="K9" s="43">
        <v>3707033.9816159648</v>
      </c>
      <c r="L9" s="43">
        <f t="shared" si="4"/>
        <v>2691306.6706531905</v>
      </c>
      <c r="M9" s="43">
        <f t="shared" si="5"/>
        <v>741406.796323193</v>
      </c>
      <c r="N9" s="43">
        <f t="shared" si="6"/>
        <v>274320.51463958144</v>
      </c>
      <c r="O9" s="43">
        <v>27899013.995317116</v>
      </c>
      <c r="P9" s="43">
        <f t="shared" si="7"/>
        <v>20254684.160600226</v>
      </c>
      <c r="Q9" s="43">
        <f t="shared" si="8"/>
        <v>5579802.7990634236</v>
      </c>
      <c r="R9" s="43">
        <f t="shared" si="9"/>
        <v>2064527.0356534668</v>
      </c>
      <c r="S9" s="43">
        <v>598425.59999999998</v>
      </c>
      <c r="T9" s="43">
        <v>0</v>
      </c>
      <c r="U9" s="43">
        <f t="shared" si="10"/>
        <v>12656134.850479664</v>
      </c>
      <c r="V9" s="30">
        <v>1</v>
      </c>
      <c r="W9" s="30">
        <v>1</v>
      </c>
      <c r="X9" s="43">
        <f t="shared" si="11"/>
        <v>12656134.850479664</v>
      </c>
      <c r="Y9" s="43">
        <f t="shared" si="12"/>
        <v>34132563.926453419</v>
      </c>
      <c r="Z9" s="43">
        <f t="shared" si="13"/>
        <v>46788698.776933081</v>
      </c>
    </row>
    <row r="10" spans="1:26">
      <c r="A10" s="19" t="s">
        <v>117</v>
      </c>
      <c r="B10" s="41" t="s">
        <v>28</v>
      </c>
      <c r="C10" s="41" t="s">
        <v>29</v>
      </c>
      <c r="D10" s="41">
        <v>60</v>
      </c>
      <c r="E10" s="42">
        <v>44497.427386000032</v>
      </c>
      <c r="F10" s="42">
        <f t="shared" si="0"/>
        <v>44496.000000000007</v>
      </c>
      <c r="G10" s="43">
        <v>14149905</v>
      </c>
      <c r="H10" s="43">
        <f t="shared" si="1"/>
        <v>10272831.029999999</v>
      </c>
      <c r="I10" s="43">
        <f t="shared" si="2"/>
        <v>2829981</v>
      </c>
      <c r="J10" s="43">
        <f t="shared" si="3"/>
        <v>1047092.97</v>
      </c>
      <c r="K10" s="43">
        <v>3463568.6400000006</v>
      </c>
      <c r="L10" s="43">
        <f t="shared" si="4"/>
        <v>2514550.8326400002</v>
      </c>
      <c r="M10" s="43">
        <f t="shared" si="5"/>
        <v>692713.72800000012</v>
      </c>
      <c r="N10" s="43">
        <f t="shared" si="6"/>
        <v>256304.07936000003</v>
      </c>
      <c r="O10" s="43">
        <v>27744030.971676104</v>
      </c>
      <c r="P10" s="43">
        <f t="shared" si="7"/>
        <v>20142166.485436853</v>
      </c>
      <c r="Q10" s="43">
        <f t="shared" si="8"/>
        <v>5548806.1943352213</v>
      </c>
      <c r="R10" s="43">
        <f t="shared" si="9"/>
        <v>2053058.2919040315</v>
      </c>
      <c r="S10" s="43">
        <v>662437.20000000007</v>
      </c>
      <c r="T10" s="43">
        <v>0</v>
      </c>
      <c r="U10" s="43">
        <f t="shared" si="10"/>
        <v>12427956.263599254</v>
      </c>
      <c r="V10" s="30">
        <v>1</v>
      </c>
      <c r="W10" s="30">
        <v>1</v>
      </c>
      <c r="X10" s="43">
        <f t="shared" si="11"/>
        <v>12427956.263599254</v>
      </c>
      <c r="Y10" s="43">
        <f t="shared" si="12"/>
        <v>33591985.548076853</v>
      </c>
      <c r="Z10" s="43">
        <f t="shared" si="13"/>
        <v>46019941.811676107</v>
      </c>
    </row>
    <row r="11" spans="1:26">
      <c r="A11" s="19" t="s">
        <v>117</v>
      </c>
      <c r="B11" s="41" t="s">
        <v>30</v>
      </c>
      <c r="C11" s="41" t="s">
        <v>31</v>
      </c>
      <c r="D11" s="41">
        <v>65</v>
      </c>
      <c r="E11" s="42">
        <v>47013.594041999975</v>
      </c>
      <c r="F11" s="42">
        <f t="shared" si="0"/>
        <v>47013.594041999975</v>
      </c>
      <c r="G11" s="43">
        <v>16473385.5</v>
      </c>
      <c r="H11" s="43">
        <f t="shared" si="1"/>
        <v>11959677.873</v>
      </c>
      <c r="I11" s="43">
        <f t="shared" si="2"/>
        <v>3294677.1</v>
      </c>
      <c r="J11" s="43">
        <f t="shared" si="3"/>
        <v>1219030.527</v>
      </c>
      <c r="K11" s="43">
        <v>4068086.2924542581</v>
      </c>
      <c r="L11" s="43">
        <f t="shared" si="4"/>
        <v>2953430.6483217911</v>
      </c>
      <c r="M11" s="43">
        <f t="shared" si="5"/>
        <v>813617.25849085161</v>
      </c>
      <c r="N11" s="43">
        <f t="shared" si="6"/>
        <v>301038.38564161508</v>
      </c>
      <c r="O11" s="43">
        <v>29448783.471378289</v>
      </c>
      <c r="P11" s="43">
        <f t="shared" si="7"/>
        <v>21379816.800220639</v>
      </c>
      <c r="Q11" s="43">
        <f t="shared" si="8"/>
        <v>5889756.6942756586</v>
      </c>
      <c r="R11" s="43">
        <f t="shared" si="9"/>
        <v>2179209.9768819935</v>
      </c>
      <c r="S11" s="43">
        <v>610283.13</v>
      </c>
      <c r="T11" s="43">
        <v>0</v>
      </c>
      <c r="U11" s="43">
        <f t="shared" si="10"/>
        <v>13697329.942290118</v>
      </c>
      <c r="V11" s="30">
        <v>1</v>
      </c>
      <c r="W11" s="30">
        <v>1</v>
      </c>
      <c r="X11" s="43">
        <f t="shared" si="11"/>
        <v>13697329.942290118</v>
      </c>
      <c r="Y11" s="43">
        <f t="shared" si="12"/>
        <v>36903208.45154243</v>
      </c>
      <c r="Z11" s="43">
        <f t="shared" si="13"/>
        <v>50600538.393832549</v>
      </c>
    </row>
    <row r="12" spans="1:26" ht="18">
      <c r="E12" s="40"/>
      <c r="F12" s="40">
        <f>SUM(F7:F11)</f>
        <v>223028.65743799959</v>
      </c>
      <c r="Z12" s="40">
        <f>SUM(Z7:Z11)</f>
        <v>243418832.0131734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GÁS NATURAL</vt:lpstr>
      <vt:lpstr>GÁS ACESSÓRIAS</vt:lpstr>
      <vt:lpstr>CONTRATOS CER-CCVEE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Zucchi</dc:creator>
  <cp:lastModifiedBy>Tamilyn Tanaka</cp:lastModifiedBy>
  <dcterms:created xsi:type="dcterms:W3CDTF">2019-06-14T19:24:40Z</dcterms:created>
  <dcterms:modified xsi:type="dcterms:W3CDTF">2025-06-23T21:02:44Z</dcterms:modified>
</cp:coreProperties>
</file>